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xampp\htdocs\maidirebet\software-bet\"/>
    </mc:Choice>
  </mc:AlternateContent>
  <xr:revisionPtr revIDLastSave="0" documentId="13_ncr:1_{3B0C424B-B057-47E7-A8DD-1C02E67C4867}" xr6:coauthVersionLast="46" xr6:coauthVersionMax="46" xr10:uidLastSave="{00000000-0000-0000-0000-000000000000}"/>
  <bookViews>
    <workbookView xWindow="-120" yWindow="-120" windowWidth="29040" windowHeight="15840" xr2:uid="{4CE1B2F1-858F-46C4-98DF-E4D4A3CFC98C}"/>
  </bookViews>
  <sheets>
    <sheet name="System X4" sheetId="1" r:id="rId1"/>
    <sheet name="Foglio2" sheetId="2" state="veryHidden" r:id="rId2"/>
    <sheet name="Foglio1" sheetId="3" state="very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W27" i="1" s="1"/>
  <c r="W35" i="1"/>
  <c r="X31" i="1"/>
  <c r="X32" i="1"/>
  <c r="W32" i="1"/>
  <c r="AN30" i="2"/>
  <c r="V31" i="2"/>
  <c r="U30" i="2"/>
  <c r="U29" i="2"/>
  <c r="T29" i="2"/>
  <c r="W27" i="2"/>
  <c r="V27" i="2"/>
  <c r="Q31" i="2"/>
  <c r="X31" i="2" s="1"/>
  <c r="Z31" i="2" s="1"/>
  <c r="P31" i="2"/>
  <c r="O31" i="2"/>
  <c r="N31" i="2"/>
  <c r="Q30" i="2"/>
  <c r="X30" i="2" s="1"/>
  <c r="Z30" i="2" s="1"/>
  <c r="P30" i="2"/>
  <c r="O30" i="2"/>
  <c r="N30" i="2"/>
  <c r="Q29" i="2"/>
  <c r="X29" i="2" s="1"/>
  <c r="Y29" i="2" s="1"/>
  <c r="P29" i="2"/>
  <c r="O29" i="2"/>
  <c r="N29" i="2"/>
  <c r="Q28" i="2"/>
  <c r="X28" i="2" s="1"/>
  <c r="Y28" i="2" s="1"/>
  <c r="P28" i="2"/>
  <c r="O28" i="2"/>
  <c r="N28" i="2"/>
  <c r="Q27" i="2"/>
  <c r="X27" i="2" s="1"/>
  <c r="Z27" i="2" s="1"/>
  <c r="P27" i="2"/>
  <c r="O27" i="2"/>
  <c r="N27" i="2"/>
  <c r="M31" i="2"/>
  <c r="M30" i="2"/>
  <c r="M29" i="2"/>
  <c r="M28" i="2"/>
  <c r="M27" i="2"/>
  <c r="Q25" i="2"/>
  <c r="X25" i="2" s="1"/>
  <c r="Z25" i="2" s="1"/>
  <c r="P25" i="2"/>
  <c r="O25" i="2"/>
  <c r="N25" i="2"/>
  <c r="Q24" i="2"/>
  <c r="X24" i="2" s="1"/>
  <c r="Y24" i="2" s="1"/>
  <c r="P24" i="2"/>
  <c r="O24" i="2"/>
  <c r="N24" i="2"/>
  <c r="Q23" i="2"/>
  <c r="X23" i="2" s="1"/>
  <c r="Y23" i="2" s="1"/>
  <c r="P23" i="2"/>
  <c r="O23" i="2"/>
  <c r="N23" i="2"/>
  <c r="Q22" i="2"/>
  <c r="X22" i="2" s="1"/>
  <c r="Z22" i="2" s="1"/>
  <c r="P22" i="2"/>
  <c r="O22" i="2"/>
  <c r="N22" i="2"/>
  <c r="Q21" i="2"/>
  <c r="X21" i="2" s="1"/>
  <c r="Y21" i="2" s="1"/>
  <c r="P21" i="2"/>
  <c r="O21" i="2"/>
  <c r="N21" i="2"/>
  <c r="M25" i="2"/>
  <c r="M24" i="2"/>
  <c r="M23" i="2"/>
  <c r="M22" i="2"/>
  <c r="M21" i="2"/>
  <c r="Q19" i="2"/>
  <c r="X19" i="2" s="1"/>
  <c r="Z19" i="2" s="1"/>
  <c r="P19" i="2"/>
  <c r="O19" i="2"/>
  <c r="N19" i="2"/>
  <c r="Q18" i="2"/>
  <c r="X18" i="2" s="1"/>
  <c r="Y18" i="2" s="1"/>
  <c r="P18" i="2"/>
  <c r="O18" i="2"/>
  <c r="N18" i="2"/>
  <c r="Q17" i="2"/>
  <c r="X17" i="2" s="1"/>
  <c r="Z17" i="2" s="1"/>
  <c r="P17" i="2"/>
  <c r="O17" i="2"/>
  <c r="N17" i="2"/>
  <c r="Q16" i="2"/>
  <c r="X16" i="2" s="1"/>
  <c r="Z16" i="2" s="1"/>
  <c r="P16" i="2"/>
  <c r="O16" i="2"/>
  <c r="N16" i="2"/>
  <c r="Q15" i="2"/>
  <c r="X15" i="2" s="1"/>
  <c r="Z15" i="2" s="1"/>
  <c r="P15" i="2"/>
  <c r="O15" i="2"/>
  <c r="N15" i="2"/>
  <c r="M19" i="2"/>
  <c r="M18" i="2"/>
  <c r="M17" i="2"/>
  <c r="M16" i="2"/>
  <c r="M15" i="2"/>
  <c r="Q13" i="2"/>
  <c r="X13" i="2" s="1"/>
  <c r="Y13" i="2" s="1"/>
  <c r="P13" i="2"/>
  <c r="O13" i="2"/>
  <c r="N13" i="2"/>
  <c r="Q12" i="2"/>
  <c r="X12" i="2" s="1"/>
  <c r="Z12" i="2" s="1"/>
  <c r="P12" i="2"/>
  <c r="O12" i="2"/>
  <c r="N12" i="2"/>
  <c r="Q11" i="2"/>
  <c r="X11" i="2" s="1"/>
  <c r="Y11" i="2" s="1"/>
  <c r="P11" i="2"/>
  <c r="O11" i="2"/>
  <c r="N11" i="2"/>
  <c r="Q10" i="2"/>
  <c r="X10" i="2" s="1"/>
  <c r="Y10" i="2" s="1"/>
  <c r="P10" i="2"/>
  <c r="O10" i="2"/>
  <c r="N10" i="2"/>
  <c r="Q9" i="2"/>
  <c r="X9" i="2" s="1"/>
  <c r="Z9" i="2" s="1"/>
  <c r="P9" i="2"/>
  <c r="O9" i="2"/>
  <c r="N9" i="2"/>
  <c r="M13" i="2"/>
  <c r="M12" i="2"/>
  <c r="M11" i="2"/>
  <c r="M10" i="2"/>
  <c r="M9" i="2"/>
  <c r="Q7" i="2"/>
  <c r="X7" i="2" s="1"/>
  <c r="Z7" i="2" s="1"/>
  <c r="P7" i="2"/>
  <c r="O7" i="2"/>
  <c r="N7" i="2"/>
  <c r="M7" i="2"/>
  <c r="Q6" i="2"/>
  <c r="X6" i="2" s="1"/>
  <c r="Z6" i="2" s="1"/>
  <c r="P6" i="2"/>
  <c r="O6" i="2"/>
  <c r="N6" i="2"/>
  <c r="M6" i="2"/>
  <c r="Q5" i="2"/>
  <c r="X5" i="2" s="1"/>
  <c r="Z5" i="2" s="1"/>
  <c r="P5" i="2"/>
  <c r="O5" i="2"/>
  <c r="N5" i="2"/>
  <c r="M5" i="2"/>
  <c r="Q4" i="2"/>
  <c r="X4" i="2" s="1"/>
  <c r="Z4" i="2" s="1"/>
  <c r="P4" i="2"/>
  <c r="O4" i="2"/>
  <c r="N4" i="2"/>
  <c r="M4" i="2"/>
  <c r="Q3" i="2"/>
  <c r="X3" i="2" s="1"/>
  <c r="Z3" i="2" s="1"/>
  <c r="P3" i="2"/>
  <c r="O3" i="2"/>
  <c r="N3" i="2"/>
  <c r="M3" i="2"/>
  <c r="W11" i="1"/>
  <c r="AL15" i="1"/>
  <c r="X17" i="1"/>
  <c r="AL19" i="1"/>
  <c r="W22" i="1"/>
  <c r="W23" i="1"/>
  <c r="AL23" i="1"/>
  <c r="AL27" i="1"/>
  <c r="L31" i="2"/>
  <c r="K31" i="2"/>
  <c r="W31" i="2" s="1"/>
  <c r="J31" i="2"/>
  <c r="I31" i="2"/>
  <c r="H31" i="2"/>
  <c r="G31" i="2"/>
  <c r="F31" i="2"/>
  <c r="E31" i="2"/>
  <c r="T31" i="2" s="1"/>
  <c r="D31" i="2"/>
  <c r="C31" i="2"/>
  <c r="B31" i="2"/>
  <c r="L30" i="2"/>
  <c r="K30" i="2"/>
  <c r="V30" i="2" s="1"/>
  <c r="J30" i="2"/>
  <c r="I30" i="2"/>
  <c r="H30" i="2"/>
  <c r="G30" i="2"/>
  <c r="F30" i="2"/>
  <c r="E30" i="2"/>
  <c r="T30" i="2" s="1"/>
  <c r="D30" i="2"/>
  <c r="C30" i="2"/>
  <c r="B30" i="2"/>
  <c r="L29" i="2"/>
  <c r="K29" i="2"/>
  <c r="V29" i="2" s="1"/>
  <c r="J29" i="2"/>
  <c r="I29" i="2"/>
  <c r="H29" i="2"/>
  <c r="G29" i="2"/>
  <c r="F29" i="2"/>
  <c r="E29" i="2"/>
  <c r="D29" i="2"/>
  <c r="C29" i="2"/>
  <c r="B29" i="2"/>
  <c r="L28" i="2"/>
  <c r="K28" i="2"/>
  <c r="W28" i="2" s="1"/>
  <c r="AA28" i="2" s="1"/>
  <c r="J28" i="2"/>
  <c r="I28" i="2"/>
  <c r="H28" i="2"/>
  <c r="G28" i="2"/>
  <c r="F28" i="2"/>
  <c r="E28" i="2"/>
  <c r="T28" i="2" s="1"/>
  <c r="D28" i="2"/>
  <c r="C28" i="2"/>
  <c r="B28" i="2"/>
  <c r="L27" i="2"/>
  <c r="AA27" i="2" s="1"/>
  <c r="K27" i="2"/>
  <c r="J27" i="2"/>
  <c r="G26" i="2" s="1"/>
  <c r="AN31" i="2" s="1"/>
  <c r="I27" i="2"/>
  <c r="H27" i="2"/>
  <c r="G27" i="2"/>
  <c r="F27" i="2"/>
  <c r="E27" i="2"/>
  <c r="T27" i="2" s="1"/>
  <c r="D27" i="2"/>
  <c r="C27" i="2"/>
  <c r="A26" i="2" s="1"/>
  <c r="B27" i="2"/>
  <c r="A31" i="2"/>
  <c r="A30" i="2"/>
  <c r="A29" i="2"/>
  <c r="A28" i="2"/>
  <c r="A27" i="2"/>
  <c r="C36" i="1"/>
  <c r="W17" i="1" s="1"/>
  <c r="I36" i="1"/>
  <c r="X35" i="1" s="1"/>
  <c r="G35" i="2"/>
  <c r="C47" i="2"/>
  <c r="C52" i="2"/>
  <c r="C51" i="2"/>
  <c r="C50" i="2"/>
  <c r="C49" i="2"/>
  <c r="C46" i="2"/>
  <c r="C45" i="2"/>
  <c r="C44" i="2"/>
  <c r="C42" i="2"/>
  <c r="C41" i="2"/>
  <c r="C40" i="2"/>
  <c r="C39" i="2"/>
  <c r="C37" i="2"/>
  <c r="C36" i="2"/>
  <c r="C35" i="2"/>
  <c r="C34" i="2"/>
  <c r="AA31" i="2" l="1"/>
  <c r="W30" i="2"/>
  <c r="AA30" i="2" s="1"/>
  <c r="W29" i="2"/>
  <c r="AA29" i="2" s="1"/>
  <c r="X23" i="1"/>
  <c r="X11" i="1"/>
  <c r="V28" i="2"/>
  <c r="U27" i="2"/>
  <c r="U28" i="2"/>
  <c r="U31" i="2"/>
  <c r="W33" i="1"/>
  <c r="W12" i="1"/>
  <c r="S31" i="2"/>
  <c r="R29" i="2"/>
  <c r="S28" i="2"/>
  <c r="Y31" i="2"/>
  <c r="R31" i="2" s="1"/>
  <c r="S27" i="2"/>
  <c r="S30" i="2"/>
  <c r="S29" i="2"/>
  <c r="AE31" i="2"/>
  <c r="AF30" i="2"/>
  <c r="AF31" i="2"/>
  <c r="AE30" i="2"/>
  <c r="Y30" i="2"/>
  <c r="R30" i="2" s="1"/>
  <c r="Y27" i="2"/>
  <c r="R27" i="2" s="1"/>
  <c r="Z28" i="2"/>
  <c r="Z29" i="2"/>
  <c r="Z18" i="2"/>
  <c r="R18" i="2" s="1"/>
  <c r="Y17" i="2"/>
  <c r="R17" i="2" s="1"/>
  <c r="Y9" i="2"/>
  <c r="R9" i="2" s="1"/>
  <c r="Z11" i="2"/>
  <c r="R11" i="2" s="1"/>
  <c r="Z13" i="2"/>
  <c r="R13" i="2" s="1"/>
  <c r="Y16" i="2"/>
  <c r="R16" i="2" s="1"/>
  <c r="Y19" i="2"/>
  <c r="R19" i="2" s="1"/>
  <c r="Y15" i="2"/>
  <c r="R15" i="2" s="1"/>
  <c r="Z10" i="2"/>
  <c r="R10" i="2" s="1"/>
  <c r="Y12" i="2"/>
  <c r="R12" i="2" s="1"/>
  <c r="Y22" i="2"/>
  <c r="R22" i="2" s="1"/>
  <c r="Z24" i="2"/>
  <c r="R24" i="2" s="1"/>
  <c r="Y7" i="2"/>
  <c r="R7" i="2" s="1"/>
  <c r="Y4" i="2"/>
  <c r="R4" i="2" s="1"/>
  <c r="Y5" i="2"/>
  <c r="R5" i="2" s="1"/>
  <c r="Y6" i="2"/>
  <c r="R6" i="2" s="1"/>
  <c r="Y3" i="2"/>
  <c r="R3" i="2" s="1"/>
  <c r="Y25" i="2"/>
  <c r="R25" i="2" s="1"/>
  <c r="Z23" i="2"/>
  <c r="R23" i="2" s="1"/>
  <c r="Z21" i="2"/>
  <c r="R21" i="2" s="1"/>
  <c r="D50" i="2"/>
  <c r="AG27" i="1" s="1"/>
  <c r="D35" i="2"/>
  <c r="AG15" i="1" s="1"/>
  <c r="D40" i="2"/>
  <c r="AG19" i="1" s="1"/>
  <c r="D45" i="2"/>
  <c r="AG23" i="1" s="1"/>
  <c r="I29" i="1"/>
  <c r="C29" i="1"/>
  <c r="I22" i="1"/>
  <c r="I15" i="1"/>
  <c r="C15" i="1"/>
  <c r="I8" i="1"/>
  <c r="C8" i="1"/>
  <c r="W31" i="1" s="1"/>
  <c r="L13" i="2"/>
  <c r="K13" i="2"/>
  <c r="J13" i="2"/>
  <c r="I13" i="2"/>
  <c r="H13" i="2"/>
  <c r="G13" i="2"/>
  <c r="L12" i="2"/>
  <c r="K12" i="2"/>
  <c r="J12" i="2"/>
  <c r="I12" i="2"/>
  <c r="H12" i="2"/>
  <c r="G12" i="2"/>
  <c r="L25" i="2"/>
  <c r="K25" i="2"/>
  <c r="J25" i="2"/>
  <c r="I25" i="2"/>
  <c r="H25" i="2"/>
  <c r="G25" i="2"/>
  <c r="F25" i="2"/>
  <c r="E25" i="2"/>
  <c r="D25" i="2"/>
  <c r="C25" i="2"/>
  <c r="B25" i="2"/>
  <c r="A25" i="2"/>
  <c r="L24" i="2"/>
  <c r="K24" i="2"/>
  <c r="J24" i="2"/>
  <c r="I24" i="2"/>
  <c r="H24" i="2"/>
  <c r="G24" i="2"/>
  <c r="F24" i="2"/>
  <c r="E24" i="2"/>
  <c r="D24" i="2"/>
  <c r="C24" i="2"/>
  <c r="B24" i="2"/>
  <c r="A24" i="2"/>
  <c r="L23" i="2"/>
  <c r="K23" i="2"/>
  <c r="J23" i="2"/>
  <c r="I23" i="2"/>
  <c r="H23" i="2"/>
  <c r="G23" i="2"/>
  <c r="F23" i="2"/>
  <c r="E23" i="2"/>
  <c r="D23" i="2"/>
  <c r="C23" i="2"/>
  <c r="B23" i="2"/>
  <c r="A23" i="2"/>
  <c r="L22" i="2"/>
  <c r="K22" i="2"/>
  <c r="J22" i="2"/>
  <c r="I22" i="2"/>
  <c r="H22" i="2"/>
  <c r="G22" i="2"/>
  <c r="F22" i="2"/>
  <c r="E22" i="2"/>
  <c r="D22" i="2"/>
  <c r="C22" i="2"/>
  <c r="B22" i="2"/>
  <c r="A22" i="2"/>
  <c r="L21" i="2"/>
  <c r="K21" i="2"/>
  <c r="J21" i="2"/>
  <c r="G20" i="2" s="1"/>
  <c r="AN25" i="2" s="1"/>
  <c r="I21" i="2"/>
  <c r="H21" i="2"/>
  <c r="G21" i="2"/>
  <c r="F21" i="2"/>
  <c r="E21" i="2"/>
  <c r="D21" i="2"/>
  <c r="C21" i="2"/>
  <c r="A20" i="2" s="1"/>
  <c r="AN24" i="2" s="1"/>
  <c r="B21" i="2"/>
  <c r="A21" i="2"/>
  <c r="L19" i="2"/>
  <c r="K19" i="2"/>
  <c r="J19" i="2"/>
  <c r="I19" i="2"/>
  <c r="H19" i="2"/>
  <c r="G19" i="2"/>
  <c r="F19" i="2"/>
  <c r="E19" i="2"/>
  <c r="D19" i="2"/>
  <c r="C19" i="2"/>
  <c r="B19" i="2"/>
  <c r="A19" i="2"/>
  <c r="L18" i="2"/>
  <c r="K18" i="2"/>
  <c r="J18" i="2"/>
  <c r="I18" i="2"/>
  <c r="H18" i="2"/>
  <c r="G18" i="2"/>
  <c r="F18" i="2"/>
  <c r="E18" i="2"/>
  <c r="D18" i="2"/>
  <c r="C18" i="2"/>
  <c r="B18" i="2"/>
  <c r="A18" i="2"/>
  <c r="L17" i="2"/>
  <c r="K17" i="2"/>
  <c r="J17" i="2"/>
  <c r="I17" i="2"/>
  <c r="H17" i="2"/>
  <c r="G17" i="2"/>
  <c r="F17" i="2"/>
  <c r="E17" i="2"/>
  <c r="D17" i="2"/>
  <c r="C17" i="2"/>
  <c r="B17" i="2"/>
  <c r="A17" i="2"/>
  <c r="L16" i="2"/>
  <c r="K16" i="2"/>
  <c r="J16" i="2"/>
  <c r="I16" i="2"/>
  <c r="H16" i="2"/>
  <c r="G16" i="2"/>
  <c r="F16" i="2"/>
  <c r="E16" i="2"/>
  <c r="D16" i="2"/>
  <c r="C16" i="2"/>
  <c r="B16" i="2"/>
  <c r="A16" i="2"/>
  <c r="L15" i="2"/>
  <c r="K15" i="2"/>
  <c r="J15" i="2"/>
  <c r="G14" i="2" s="1"/>
  <c r="AN19" i="2" s="1"/>
  <c r="I15" i="2"/>
  <c r="H15" i="2"/>
  <c r="G15" i="2"/>
  <c r="F15" i="2"/>
  <c r="E15" i="2"/>
  <c r="D15" i="2"/>
  <c r="C15" i="2"/>
  <c r="A14" i="2" s="1"/>
  <c r="AN18" i="2" s="1"/>
  <c r="B15" i="2"/>
  <c r="A15" i="2"/>
  <c r="F13" i="2"/>
  <c r="E13" i="2"/>
  <c r="D13" i="2"/>
  <c r="C13" i="2"/>
  <c r="B13" i="2"/>
  <c r="A13" i="2"/>
  <c r="F12" i="2"/>
  <c r="E12" i="2"/>
  <c r="D12" i="2"/>
  <c r="C12" i="2"/>
  <c r="B12" i="2"/>
  <c r="A12" i="2"/>
  <c r="L11" i="2"/>
  <c r="K11" i="2"/>
  <c r="J11" i="2"/>
  <c r="I11" i="2"/>
  <c r="H11" i="2"/>
  <c r="G11" i="2"/>
  <c r="F11" i="2"/>
  <c r="E11" i="2"/>
  <c r="D11" i="2"/>
  <c r="C11" i="2"/>
  <c r="B11" i="2"/>
  <c r="A11" i="2"/>
  <c r="L10" i="2"/>
  <c r="K10" i="2"/>
  <c r="J10" i="2"/>
  <c r="I10" i="2"/>
  <c r="H10" i="2"/>
  <c r="G10" i="2"/>
  <c r="F10" i="2"/>
  <c r="E10" i="2"/>
  <c r="D10" i="2"/>
  <c r="C10" i="2"/>
  <c r="B10" i="2"/>
  <c r="A10" i="2"/>
  <c r="L9" i="2"/>
  <c r="K9" i="2"/>
  <c r="J9" i="2"/>
  <c r="G8" i="2" s="1"/>
  <c r="AN13" i="2" s="1"/>
  <c r="I9" i="2"/>
  <c r="H9" i="2"/>
  <c r="G9" i="2"/>
  <c r="F9" i="2"/>
  <c r="E9" i="2"/>
  <c r="D9" i="2"/>
  <c r="C9" i="2"/>
  <c r="A8" i="2" s="1"/>
  <c r="AN12" i="2" s="1"/>
  <c r="B9" i="2"/>
  <c r="A9" i="2"/>
  <c r="L7" i="2"/>
  <c r="K7" i="2"/>
  <c r="J7" i="2"/>
  <c r="I7" i="2"/>
  <c r="H7" i="2"/>
  <c r="G7" i="2"/>
  <c r="F7" i="2"/>
  <c r="E7" i="2"/>
  <c r="D7" i="2"/>
  <c r="C7" i="2"/>
  <c r="B7" i="2"/>
  <c r="A7" i="2"/>
  <c r="L6" i="2"/>
  <c r="K6" i="2"/>
  <c r="J6" i="2"/>
  <c r="I6" i="2"/>
  <c r="H6" i="2"/>
  <c r="G6" i="2"/>
  <c r="F6" i="2"/>
  <c r="E6" i="2"/>
  <c r="D6" i="2"/>
  <c r="C6" i="2"/>
  <c r="B6" i="2"/>
  <c r="A6" i="2"/>
  <c r="L5" i="2"/>
  <c r="K5" i="2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L3" i="2"/>
  <c r="K3" i="2"/>
  <c r="J3" i="2"/>
  <c r="G2" i="2" s="1"/>
  <c r="AN7" i="2" s="1"/>
  <c r="I3" i="2"/>
  <c r="H3" i="2"/>
  <c r="G3" i="2"/>
  <c r="F3" i="2"/>
  <c r="E3" i="2"/>
  <c r="D3" i="2"/>
  <c r="C3" i="2"/>
  <c r="A2" i="2" s="1"/>
  <c r="AN6" i="2" s="1"/>
  <c r="B3" i="2"/>
  <c r="A3" i="2"/>
  <c r="AC31" i="2" l="1"/>
  <c r="AB31" i="2"/>
  <c r="AC29" i="2"/>
  <c r="AB29" i="2"/>
  <c r="AC27" i="2"/>
  <c r="AB27" i="2"/>
  <c r="AC30" i="2"/>
  <c r="AB30" i="2"/>
  <c r="W21" i="2"/>
  <c r="AA21" i="2" s="1"/>
  <c r="V21" i="2"/>
  <c r="W22" i="2"/>
  <c r="AA22" i="2" s="1"/>
  <c r="V22" i="2"/>
  <c r="W23" i="2"/>
  <c r="AA23" i="2" s="1"/>
  <c r="V23" i="2"/>
  <c r="W24" i="2"/>
  <c r="AA24" i="2" s="1"/>
  <c r="V24" i="2"/>
  <c r="W25" i="2"/>
  <c r="AA25" i="2" s="1"/>
  <c r="V25" i="2"/>
  <c r="X18" i="1"/>
  <c r="X28" i="1"/>
  <c r="X13" i="1"/>
  <c r="X34" i="1"/>
  <c r="U22" i="2"/>
  <c r="T22" i="2"/>
  <c r="S22" i="2" s="1"/>
  <c r="U23" i="2"/>
  <c r="T23" i="2"/>
  <c r="S23" i="2" s="1"/>
  <c r="U24" i="2"/>
  <c r="T24" i="2"/>
  <c r="U25" i="2"/>
  <c r="T25" i="2"/>
  <c r="W13" i="1"/>
  <c r="W28" i="1"/>
  <c r="W34" i="1"/>
  <c r="W18" i="1"/>
  <c r="U21" i="2"/>
  <c r="T21" i="2"/>
  <c r="AC25" i="2"/>
  <c r="AB25" i="2"/>
  <c r="AC24" i="2"/>
  <c r="AB24" i="2"/>
  <c r="AC22" i="2"/>
  <c r="AB22" i="2"/>
  <c r="AB23" i="2"/>
  <c r="AC23" i="2"/>
  <c r="AC21" i="2"/>
  <c r="AB21" i="2"/>
  <c r="V18" i="2"/>
  <c r="W18" i="2"/>
  <c r="AA18" i="2" s="1"/>
  <c r="W19" i="2"/>
  <c r="AA19" i="2" s="1"/>
  <c r="V19" i="2"/>
  <c r="V15" i="2"/>
  <c r="W15" i="2"/>
  <c r="AA15" i="2" s="1"/>
  <c r="W16" i="2"/>
  <c r="AA16" i="2" s="1"/>
  <c r="V16" i="2"/>
  <c r="W17" i="2"/>
  <c r="V17" i="2"/>
  <c r="X33" i="1"/>
  <c r="X27" i="1"/>
  <c r="X22" i="1"/>
  <c r="X12" i="1"/>
  <c r="AA17" i="2"/>
  <c r="AC15" i="2"/>
  <c r="AB15" i="2"/>
  <c r="AC18" i="2"/>
  <c r="AB18" i="2"/>
  <c r="AC17" i="2"/>
  <c r="AB17" i="2"/>
  <c r="AC19" i="2"/>
  <c r="AB19" i="2"/>
  <c r="AC16" i="2"/>
  <c r="AB16" i="2"/>
  <c r="U18" i="2"/>
  <c r="T18" i="2"/>
  <c r="U17" i="2"/>
  <c r="T17" i="2"/>
  <c r="S17" i="2" s="1"/>
  <c r="U19" i="2"/>
  <c r="T19" i="2"/>
  <c r="S19" i="2" s="1"/>
  <c r="U16" i="2"/>
  <c r="T16" i="2"/>
  <c r="T15" i="2"/>
  <c r="S15" i="2" s="1"/>
  <c r="U15" i="2"/>
  <c r="W13" i="2"/>
  <c r="AA13" i="2" s="1"/>
  <c r="V13" i="2"/>
  <c r="X16" i="1"/>
  <c r="X21" i="1"/>
  <c r="X26" i="1"/>
  <c r="V9" i="2"/>
  <c r="W9" i="2"/>
  <c r="AA9" i="2" s="1"/>
  <c r="W10" i="2"/>
  <c r="AA10" i="2" s="1"/>
  <c r="V10" i="2"/>
  <c r="W11" i="2"/>
  <c r="AA11" i="2" s="1"/>
  <c r="V11" i="2"/>
  <c r="V12" i="2"/>
  <c r="W12" i="2"/>
  <c r="AA12" i="2" s="1"/>
  <c r="AC11" i="2"/>
  <c r="AB11" i="2"/>
  <c r="AB10" i="2"/>
  <c r="AC10" i="2"/>
  <c r="AB13" i="2"/>
  <c r="AC13" i="2"/>
  <c r="AC12" i="2"/>
  <c r="AB12" i="2"/>
  <c r="AC9" i="2"/>
  <c r="AB9" i="2"/>
  <c r="W16" i="1"/>
  <c r="W21" i="1"/>
  <c r="W26" i="1"/>
  <c r="U9" i="2"/>
  <c r="T9" i="2"/>
  <c r="U10" i="2"/>
  <c r="T10" i="2"/>
  <c r="S10" i="2" s="1"/>
  <c r="U11" i="2"/>
  <c r="T11" i="2"/>
  <c r="S11" i="2" s="1"/>
  <c r="U12" i="2"/>
  <c r="T12" i="2"/>
  <c r="S12" i="2" s="1"/>
  <c r="U13" i="2"/>
  <c r="T13" i="2"/>
  <c r="S13" i="2" s="1"/>
  <c r="X20" i="1"/>
  <c r="X10" i="1"/>
  <c r="X25" i="1"/>
  <c r="X15" i="1"/>
  <c r="V4" i="2"/>
  <c r="W4" i="2"/>
  <c r="V5" i="2"/>
  <c r="W5" i="2"/>
  <c r="AA5" i="2" s="1"/>
  <c r="W6" i="2"/>
  <c r="AA6" i="2" s="1"/>
  <c r="V6" i="2"/>
  <c r="W7" i="2"/>
  <c r="AA7" i="2" s="1"/>
  <c r="V7" i="2"/>
  <c r="AA4" i="2"/>
  <c r="AC3" i="2"/>
  <c r="AB3" i="2"/>
  <c r="AB6" i="2"/>
  <c r="AC6" i="2"/>
  <c r="AC4" i="2"/>
  <c r="AB4" i="2"/>
  <c r="AC5" i="2"/>
  <c r="AB5" i="2"/>
  <c r="AC7" i="2"/>
  <c r="AB7" i="2"/>
  <c r="U7" i="2"/>
  <c r="T7" i="2"/>
  <c r="S7" i="2" s="1"/>
  <c r="U6" i="2"/>
  <c r="T6" i="2"/>
  <c r="U4" i="2"/>
  <c r="T4" i="2"/>
  <c r="S4" i="2" s="1"/>
  <c r="U5" i="2"/>
  <c r="T5" i="2"/>
  <c r="S5" i="2" s="1"/>
  <c r="W15" i="1"/>
  <c r="W25" i="1"/>
  <c r="W20" i="1"/>
  <c r="W10" i="1"/>
  <c r="R28" i="2"/>
  <c r="AI31" i="2"/>
  <c r="AF32" i="2"/>
  <c r="AJ31" i="2" s="1"/>
  <c r="AF27" i="2"/>
  <c r="AE32" i="2"/>
  <c r="AJ30" i="2" s="1"/>
  <c r="AH31" i="2"/>
  <c r="AI30" i="2"/>
  <c r="AH30" i="2"/>
  <c r="AI32" i="2" s="1"/>
  <c r="AL30" i="2"/>
  <c r="AG27" i="2"/>
  <c r="AG15" i="2"/>
  <c r="AG9" i="2"/>
  <c r="AG21" i="2"/>
  <c r="AE25" i="2"/>
  <c r="AE24" i="2"/>
  <c r="AG3" i="2"/>
  <c r="G37" i="2"/>
  <c r="G39" i="2" s="1"/>
  <c r="U3" i="2"/>
  <c r="T3" i="2"/>
  <c r="AF7" i="2"/>
  <c r="AF6" i="2"/>
  <c r="AE12" i="2"/>
  <c r="AE13" i="2"/>
  <c r="AE19" i="2"/>
  <c r="AE18" i="2"/>
  <c r="AF25" i="2"/>
  <c r="AF24" i="2"/>
  <c r="W3" i="2"/>
  <c r="AA3" i="2" s="1"/>
  <c r="V3" i="2"/>
  <c r="S6" i="2"/>
  <c r="AE6" i="2"/>
  <c r="AE7" i="2"/>
  <c r="AF13" i="2"/>
  <c r="AF12" i="2"/>
  <c r="AF18" i="2"/>
  <c r="AF19" i="2"/>
  <c r="S24" i="2"/>
  <c r="S25" i="2"/>
  <c r="S16" i="2"/>
  <c r="S18" i="2"/>
  <c r="AC28" i="2" l="1"/>
  <c r="AB28" i="2"/>
  <c r="AK30" i="2" s="1"/>
  <c r="AK31" i="2"/>
  <c r="AK25" i="2"/>
  <c r="AK19" i="2"/>
  <c r="AK18" i="2"/>
  <c r="AK13" i="2"/>
  <c r="AK7" i="2"/>
  <c r="AJ32" i="2"/>
  <c r="AI24" i="2"/>
  <c r="AE27" i="2"/>
  <c r="AE28" i="2" s="1"/>
  <c r="AH32" i="2"/>
  <c r="AI25" i="2"/>
  <c r="S21" i="2"/>
  <c r="AK24" i="2" s="1"/>
  <c r="AF21" i="2"/>
  <c r="AE21" i="2" s="1"/>
  <c r="AE22" i="2" s="1"/>
  <c r="AH24" i="2"/>
  <c r="AL31" i="2"/>
  <c r="AH19" i="2"/>
  <c r="AI19" i="2"/>
  <c r="AI12" i="2"/>
  <c r="AI18" i="2"/>
  <c r="AF15" i="2"/>
  <c r="AE15" i="2" s="1"/>
  <c r="AE16" i="2" s="1"/>
  <c r="AH18" i="2"/>
  <c r="AI13" i="2"/>
  <c r="AH13" i="2"/>
  <c r="AH12" i="2"/>
  <c r="AF9" i="2"/>
  <c r="AE9" i="2" s="1"/>
  <c r="AE10" i="2" s="1"/>
  <c r="S9" i="2"/>
  <c r="AK12" i="2" s="1"/>
  <c r="AF3" i="2"/>
  <c r="AE3" i="2" s="1"/>
  <c r="AE4" i="2" s="1"/>
  <c r="S3" i="2"/>
  <c r="AK6" i="2" s="1"/>
  <c r="AH25" i="2"/>
  <c r="E41" i="2"/>
  <c r="F41" i="2" s="1"/>
  <c r="E43" i="2"/>
  <c r="F43" i="2" s="1"/>
  <c r="E44" i="2"/>
  <c r="F44" i="2" s="1"/>
  <c r="E42" i="2"/>
  <c r="F42" i="2" s="1"/>
  <c r="AI6" i="2"/>
  <c r="AI7" i="2"/>
  <c r="AH6" i="2"/>
  <c r="AH7" i="2"/>
  <c r="AL24" i="2"/>
  <c r="AL18" i="2"/>
  <c r="AL12" i="2"/>
  <c r="AL6" i="2"/>
  <c r="AE14" i="2"/>
  <c r="AE20" i="2"/>
  <c r="AF14" i="2"/>
  <c r="AJ13" i="2" s="1"/>
  <c r="AF20" i="2"/>
  <c r="AJ19" i="2" s="1"/>
  <c r="AF26" i="2"/>
  <c r="AJ25" i="2" s="1"/>
  <c r="AE26" i="2"/>
  <c r="AF8" i="2"/>
  <c r="AJ7" i="2" s="1"/>
  <c r="AE8" i="2"/>
  <c r="AK32" i="2" l="1"/>
  <c r="AK28" i="2" s="1"/>
  <c r="AJ28" i="2"/>
  <c r="AJ39" i="2" s="1"/>
  <c r="AI45" i="2" s="1"/>
  <c r="Y11" i="1" s="1"/>
  <c r="AH28" i="2"/>
  <c r="AH14" i="2"/>
  <c r="AH20" i="2"/>
  <c r="AI28" i="2"/>
  <c r="AI4" i="2"/>
  <c r="AI16" i="2"/>
  <c r="AH26" i="2"/>
  <c r="AH8" i="2"/>
  <c r="AJ24" i="2"/>
  <c r="AJ26" i="2" s="1"/>
  <c r="AJ18" i="2"/>
  <c r="AJ20" i="2" s="1"/>
  <c r="AJ12" i="2"/>
  <c r="AJ14" i="2" s="1"/>
  <c r="AJ6" i="2"/>
  <c r="AJ8" i="2" s="1"/>
  <c r="E46" i="2"/>
  <c r="G41" i="2" s="1"/>
  <c r="I41" i="2" s="1"/>
  <c r="E49" i="2"/>
  <c r="G44" i="2" s="1"/>
  <c r="E47" i="2"/>
  <c r="G42" i="2" s="1"/>
  <c r="E48" i="2"/>
  <c r="G43" i="2" s="1"/>
  <c r="I43" i="2" s="1"/>
  <c r="J43" i="2" s="1"/>
  <c r="AE23" i="1" s="1"/>
  <c r="AI23" i="1" s="1"/>
  <c r="AL25" i="2"/>
  <c r="AL19" i="2"/>
  <c r="AL13" i="2"/>
  <c r="AL7" i="2"/>
  <c r="AI26" i="2"/>
  <c r="AI22" i="2" s="1"/>
  <c r="AI20" i="2"/>
  <c r="AI14" i="2"/>
  <c r="AI10" i="2" s="1"/>
  <c r="AI8" i="2"/>
  <c r="AI39" i="2" l="1"/>
  <c r="AH39" i="2"/>
  <c r="AH45" i="2" s="1"/>
  <c r="AN28" i="2"/>
  <c r="AA35" i="1" s="1"/>
  <c r="AK39" i="2"/>
  <c r="J41" i="2"/>
  <c r="AE15" i="1" s="1"/>
  <c r="AI15" i="1" s="1"/>
  <c r="I44" i="2"/>
  <c r="J44" i="2" s="1"/>
  <c r="AE27" i="1" s="1"/>
  <c r="AI27" i="1" s="1"/>
  <c r="I42" i="2"/>
  <c r="J42" i="2" s="1"/>
  <c r="AE19" i="1" s="1"/>
  <c r="AI19" i="1" s="1"/>
  <c r="AK20" i="2"/>
  <c r="AK16" i="2" s="1"/>
  <c r="AK14" i="2"/>
  <c r="AK10" i="2" s="1"/>
  <c r="AK8" i="2"/>
  <c r="AH4" i="2" s="1"/>
  <c r="AK26" i="2"/>
  <c r="AK22" i="2" l="1"/>
  <c r="AJ22" i="2"/>
  <c r="AJ38" i="2" s="1"/>
  <c r="AI44" i="2" s="1"/>
  <c r="Y18" i="1" s="1"/>
  <c r="AH22" i="2"/>
  <c r="AI38" i="2" s="1"/>
  <c r="AJ16" i="2"/>
  <c r="AH16" i="2"/>
  <c r="AJ10" i="2"/>
  <c r="AJ36" i="2" s="1"/>
  <c r="AJ42" i="2" s="1"/>
  <c r="Y21" i="1" s="1"/>
  <c r="AH10" i="2"/>
  <c r="AJ4" i="2"/>
  <c r="Y23" i="1"/>
  <c r="AJ45" i="2"/>
  <c r="Y17" i="1" s="1"/>
  <c r="AK45" i="2"/>
  <c r="AM23" i="1"/>
  <c r="AK4" i="2"/>
  <c r="AH35" i="2" s="1"/>
  <c r="AH41" i="2" s="1"/>
  <c r="Y10" i="1" s="1"/>
  <c r="AM19" i="1"/>
  <c r="AM27" i="1"/>
  <c r="I46" i="2"/>
  <c r="J46" i="2" s="1"/>
  <c r="S41" i="2" s="1"/>
  <c r="AK38" i="2"/>
  <c r="AN22" i="2" l="1"/>
  <c r="AA34" i="1" s="1"/>
  <c r="AH38" i="2"/>
  <c r="AH44" i="2" s="1"/>
  <c r="Y13" i="1" s="1"/>
  <c r="AN16" i="2"/>
  <c r="AA33" i="1" s="1"/>
  <c r="AJ37" i="2"/>
  <c r="AI43" i="2" s="1"/>
  <c r="AH37" i="2"/>
  <c r="AH43" i="2" s="1"/>
  <c r="Y12" i="1" s="1"/>
  <c r="AI37" i="2"/>
  <c r="AJ43" i="2" s="1"/>
  <c r="Y22" i="1" s="1"/>
  <c r="AK37" i="2"/>
  <c r="AK43" i="2" s="1"/>
  <c r="Y27" i="1" s="1"/>
  <c r="AK36" i="2"/>
  <c r="AK42" i="2" s="1"/>
  <c r="Y26" i="1" s="1"/>
  <c r="AH36" i="2"/>
  <c r="AH42" i="2" s="1"/>
  <c r="AN10" i="2"/>
  <c r="AA32" i="1" s="1"/>
  <c r="AI36" i="2"/>
  <c r="AI42" i="2" s="1"/>
  <c r="Y16" i="1" s="1"/>
  <c r="AI35" i="2"/>
  <c r="AI41" i="2" s="1"/>
  <c r="Y15" i="1" s="1"/>
  <c r="AJ35" i="2"/>
  <c r="AJ41" i="2" s="1"/>
  <c r="Y20" i="1" s="1"/>
  <c r="AM45" i="2"/>
  <c r="Z35" i="1" s="1"/>
  <c r="AK35" i="2"/>
  <c r="AK41" i="2" s="1"/>
  <c r="AJ44" i="2"/>
  <c r="AK44" i="2"/>
  <c r="Y28" i="1" s="1"/>
  <c r="AN4" i="2"/>
  <c r="AA31" i="1" s="1"/>
  <c r="S42" i="2"/>
  <c r="S43" i="2"/>
  <c r="S44" i="2"/>
  <c r="AM15" i="1"/>
  <c r="AH11" i="1" s="1"/>
  <c r="AM44" i="2" l="1"/>
  <c r="Z34" i="1" s="1"/>
  <c r="AM43" i="2"/>
  <c r="Z33" i="1" s="1"/>
  <c r="AM42" i="2"/>
  <c r="Z32" i="1" s="1"/>
  <c r="Y25" i="1"/>
  <c r="AM41" i="2"/>
  <c r="Z31" i="1" s="1"/>
</calcChain>
</file>

<file path=xl/sharedStrings.xml><?xml version="1.0" encoding="utf-8"?>
<sst xmlns="http://schemas.openxmlformats.org/spreadsheetml/2006/main" count="619" uniqueCount="163">
  <si>
    <t>P</t>
  </si>
  <si>
    <t>V</t>
  </si>
  <si>
    <t>N</t>
  </si>
  <si>
    <t>2 : 0</t>
  </si>
  <si>
    <t>1 : 1</t>
  </si>
  <si>
    <t>0 : 0</t>
  </si>
  <si>
    <t>1 : 2</t>
  </si>
  <si>
    <t>2 : 1</t>
  </si>
  <si>
    <t>PRONO</t>
  </si>
  <si>
    <t>3 : 1</t>
  </si>
  <si>
    <t>SOMMA GOAL</t>
  </si>
  <si>
    <t>HOME V/P</t>
  </si>
  <si>
    <t>AWAY V/P</t>
  </si>
  <si>
    <t>Home</t>
  </si>
  <si>
    <t>Away</t>
  </si>
  <si>
    <t>Fatti</t>
  </si>
  <si>
    <t>Subiti</t>
  </si>
  <si>
    <t>Dif.Punti</t>
  </si>
  <si>
    <t>QUOTA</t>
  </si>
  <si>
    <t>INSERIRE LE QUOTE MANUALMENTE</t>
  </si>
  <si>
    <t>INSERIRE LA SOMMA CHE SI VUOLE INVESTIRE</t>
  </si>
  <si>
    <t>PUNTATA 1</t>
  </si>
  <si>
    <t>PUNTATA 2</t>
  </si>
  <si>
    <t>PUNTATA 3</t>
  </si>
  <si>
    <t>PUNTATA 4</t>
  </si>
  <si>
    <t>EVENTUALE VINCITA</t>
  </si>
  <si>
    <t>GUADAGNI</t>
  </si>
  <si>
    <t>AWAY</t>
  </si>
  <si>
    <t>HOME</t>
  </si>
  <si>
    <t xml:space="preserve"> </t>
  </si>
  <si>
    <t>1 : 0</t>
  </si>
  <si>
    <t>30.01.21</t>
  </si>
  <si>
    <t>13.02.21</t>
  </si>
  <si>
    <t>27.02.21</t>
  </si>
  <si>
    <t>ATTENZIONE VERIFICARE CHE CI SIANO ALMENO DUE PRONO PER PARTITA</t>
  </si>
  <si>
    <t>3 : 0</t>
  </si>
  <si>
    <t>0 : 1</t>
  </si>
  <si>
    <t>Testa a Testa</t>
  </si>
  <si>
    <t>1 : 3</t>
  </si>
  <si>
    <t>Bolla 1</t>
  </si>
  <si>
    <t>Bolla 4</t>
  </si>
  <si>
    <t>Bolla 3</t>
  </si>
  <si>
    <t>Bolla 2</t>
  </si>
  <si>
    <t>Importo</t>
  </si>
  <si>
    <t>2 : 2</t>
  </si>
  <si>
    <t>indice Home</t>
  </si>
  <si>
    <t>Indice Away</t>
  </si>
  <si>
    <t>03.03.21</t>
  </si>
  <si>
    <t>20.02.21</t>
  </si>
  <si>
    <t>07.02.21</t>
  </si>
  <si>
    <t>24.01.21</t>
  </si>
  <si>
    <t>21.02.21</t>
  </si>
  <si>
    <t>0 : 3</t>
  </si>
  <si>
    <t>28.02.21</t>
  </si>
  <si>
    <t>1 : 4</t>
  </si>
  <si>
    <t>System X-4 con ERRORE</t>
  </si>
  <si>
    <t>Jaguares de Cordoba</t>
  </si>
  <si>
    <t>Aguilas</t>
  </si>
  <si>
    <t>07.03.21</t>
  </si>
  <si>
    <t>Cartagines</t>
  </si>
  <si>
    <t>Zeledon</t>
  </si>
  <si>
    <t>Tecnico U.</t>
  </si>
  <si>
    <t>Olmedo</t>
  </si>
  <si>
    <t>14.03.21</t>
  </si>
  <si>
    <t>19.02.21</t>
  </si>
  <si>
    <t>Sapporo</t>
  </si>
  <si>
    <t>Kobe</t>
  </si>
  <si>
    <t>06.03.21</t>
  </si>
  <si>
    <t>Jeju</t>
  </si>
  <si>
    <t>Gwangju</t>
  </si>
  <si>
    <t>Over 1,5</t>
  </si>
  <si>
    <t>GG</t>
  </si>
  <si>
    <t>1</t>
  </si>
  <si>
    <t>OVER2,5</t>
  </si>
  <si>
    <t>2€</t>
  </si>
  <si>
    <t>3€</t>
  </si>
  <si>
    <t>Under2,5</t>
  </si>
  <si>
    <t>INDICE H2H</t>
  </si>
  <si>
    <t>V/P</t>
  </si>
  <si>
    <t>SA</t>
  </si>
  <si>
    <t>Juventus</t>
  </si>
  <si>
    <t>Spezia</t>
  </si>
  <si>
    <t>Crotone</t>
  </si>
  <si>
    <t>06.02.21</t>
  </si>
  <si>
    <t>Roma</t>
  </si>
  <si>
    <t>Bologna</t>
  </si>
  <si>
    <t>Verona</t>
  </si>
  <si>
    <t>Milan</t>
  </si>
  <si>
    <t>0 : 2</t>
  </si>
  <si>
    <t>15.02.21</t>
  </si>
  <si>
    <t>Parma</t>
  </si>
  <si>
    <t>Napoli</t>
  </si>
  <si>
    <t>10.01.21</t>
  </si>
  <si>
    <t>18.07.20</t>
  </si>
  <si>
    <t>Atalanta</t>
  </si>
  <si>
    <t>18.03.18</t>
  </si>
  <si>
    <t>0 : 5</t>
  </si>
  <si>
    <t>03.02.16</t>
  </si>
  <si>
    <t>25.01.15</t>
  </si>
  <si>
    <t>08.12.13</t>
  </si>
  <si>
    <t>08.03.21</t>
  </si>
  <si>
    <t>Inter</t>
  </si>
  <si>
    <t>Sampdoria</t>
  </si>
  <si>
    <t>14.02.21</t>
  </si>
  <si>
    <t>Cagliari</t>
  </si>
  <si>
    <t>23.01.21</t>
  </si>
  <si>
    <t>20.01.21</t>
  </si>
  <si>
    <t>Udinese</t>
  </si>
  <si>
    <t>Fiorentina</t>
  </si>
  <si>
    <t>16.01.21</t>
  </si>
  <si>
    <t>4 : 2</t>
  </si>
  <si>
    <t>3 : 3</t>
  </si>
  <si>
    <t>Sassuolo</t>
  </si>
  <si>
    <t>31.01.21</t>
  </si>
  <si>
    <t>05.02.21</t>
  </si>
  <si>
    <t>22.02.20</t>
  </si>
  <si>
    <t>11.05.19</t>
  </si>
  <si>
    <t>30.12.17</t>
  </si>
  <si>
    <t>25.09.16</t>
  </si>
  <si>
    <t>23.08.15</t>
  </si>
  <si>
    <t>18.01.21</t>
  </si>
  <si>
    <t>Genoa</t>
  </si>
  <si>
    <t>4 : 3</t>
  </si>
  <si>
    <t>02.11.19</t>
  </si>
  <si>
    <t>31.03.19</t>
  </si>
  <si>
    <t>14.10.17</t>
  </si>
  <si>
    <t>04.03.17</t>
  </si>
  <si>
    <t>25.04.16</t>
  </si>
  <si>
    <t>29.11.20</t>
  </si>
  <si>
    <t>BUN</t>
  </si>
  <si>
    <t>Magonza</t>
  </si>
  <si>
    <t>Hoffenheim</t>
  </si>
  <si>
    <t>30.05.20</t>
  </si>
  <si>
    <t>24.11.19</t>
  </si>
  <si>
    <t>1 : 5</t>
  </si>
  <si>
    <t>18.05.19</t>
  </si>
  <si>
    <t>23.12.18</t>
  </si>
  <si>
    <t>Wolfsburg</t>
  </si>
  <si>
    <t>Brema</t>
  </si>
  <si>
    <t>Francoforte</t>
  </si>
  <si>
    <t>Colonia</t>
  </si>
  <si>
    <t>Bielefeld</t>
  </si>
  <si>
    <t>4 : 0</t>
  </si>
  <si>
    <t>05.03.21</t>
  </si>
  <si>
    <t>Schalke</t>
  </si>
  <si>
    <t>Monchengladbach</t>
  </si>
  <si>
    <t>Leverkusen</t>
  </si>
  <si>
    <t>29.01.21</t>
  </si>
  <si>
    <t>Stoccarda</t>
  </si>
  <si>
    <t>Dortmund</t>
  </si>
  <si>
    <t>20.06.20</t>
  </si>
  <si>
    <t>Hertha</t>
  </si>
  <si>
    <t>20.09.17</t>
  </si>
  <si>
    <t>20.05.17</t>
  </si>
  <si>
    <t>2 : 6</t>
  </si>
  <si>
    <t>05.12.15</t>
  </si>
  <si>
    <t>Augusta</t>
  </si>
  <si>
    <t>RB Lipsia</t>
  </si>
  <si>
    <t>Bayern</t>
  </si>
  <si>
    <t>19.01.21</t>
  </si>
  <si>
    <t>15.01.21</t>
  </si>
  <si>
    <t>Union Berlino</t>
  </si>
  <si>
    <t>02.01.21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</si>
</sst>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#,##0.0\ &quot;€&quot;"/>
  </numFmts>
  <fonts count="12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4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  <fill>
      <gradientFill degree="180">
        <stop position="0">
          <color theme="0"/>
        </stop>
        <stop position="1">
          <color theme="1"/>
        </stop>
      </gradientFill>
    </fill>
    <fill>
      <gradientFill degree="13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0"/>
        </stop>
        <stop position="0.5">
          <color rgb="FF0070C0"/>
        </stop>
        <stop position="1">
          <color theme="0"/>
        </stop>
      </gradientFill>
    </fill>
    <fill>
      <gradientFill degree="270">
        <stop position="0">
          <color rgb="FF0070C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rgb="FF0070C0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4" borderId="0" xfId="0" applyFill="1"/>
    <xf numFmtId="1" fontId="0" fillId="0" borderId="0" xfId="0" applyNumberFormat="1"/>
    <xf numFmtId="0" fontId="0" fillId="6" borderId="0" xfId="0" applyFill="1"/>
    <xf numFmtId="49" fontId="0" fillId="6" borderId="0" xfId="0" applyNumberFormat="1" applyFill="1"/>
    <xf numFmtId="0" fontId="0" fillId="6" borderId="0" xfId="0" applyFill="1" applyAlignment="1">
      <alignment horizontal="left"/>
    </xf>
    <xf numFmtId="0" fontId="3" fillId="6" borderId="0" xfId="0" applyFont="1" applyFill="1" applyProtection="1">
      <protection hidden="1"/>
    </xf>
    <xf numFmtId="0" fontId="0" fillId="6" borderId="0" xfId="0" applyFont="1" applyFill="1" applyProtection="1">
      <protection hidden="1"/>
    </xf>
    <xf numFmtId="0" fontId="0" fillId="6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7" borderId="0" xfId="0" applyFill="1" applyBorder="1"/>
    <xf numFmtId="49" fontId="0" fillId="7" borderId="0" xfId="0" applyNumberFormat="1" applyFill="1" applyBorder="1"/>
    <xf numFmtId="0" fontId="0" fillId="10" borderId="0" xfId="0" applyFill="1" applyBorder="1" applyAlignment="1">
      <alignment horizontal="center"/>
    </xf>
    <xf numFmtId="0" fontId="4" fillId="11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0" fontId="0" fillId="7" borderId="0" xfId="0" applyFill="1" applyAlignment="1">
      <alignment vertical="center" wrapText="1"/>
    </xf>
    <xf numFmtId="0" fontId="5" fillId="13" borderId="4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2" fillId="13" borderId="0" xfId="0" applyFont="1" applyFill="1" applyProtection="1">
      <protection locked="0"/>
    </xf>
    <xf numFmtId="49" fontId="2" fillId="13" borderId="0" xfId="0" applyNumberFormat="1" applyFont="1" applyFill="1" applyProtection="1">
      <protection locked="0"/>
    </xf>
    <xf numFmtId="0" fontId="2" fillId="13" borderId="0" xfId="0" applyFont="1" applyFill="1" applyBorder="1" applyProtection="1">
      <protection locked="0"/>
    </xf>
    <xf numFmtId="49" fontId="2" fillId="13" borderId="0" xfId="0" applyNumberFormat="1" applyFont="1" applyFill="1" applyBorder="1" applyProtection="1">
      <protection locked="0"/>
    </xf>
    <xf numFmtId="0" fontId="2" fillId="13" borderId="6" xfId="0" applyFont="1" applyFill="1" applyBorder="1" applyProtection="1">
      <protection locked="0"/>
    </xf>
    <xf numFmtId="0" fontId="2" fillId="12" borderId="0" xfId="0" applyFont="1" applyFill="1" applyProtection="1">
      <protection locked="0"/>
    </xf>
    <xf numFmtId="49" fontId="2" fillId="12" borderId="0" xfId="0" applyNumberFormat="1" applyFont="1" applyFill="1" applyProtection="1">
      <protection locked="0"/>
    </xf>
    <xf numFmtId="0" fontId="2" fillId="12" borderId="0" xfId="0" applyFont="1" applyFill="1" applyBorder="1" applyProtection="1">
      <protection locked="0"/>
    </xf>
    <xf numFmtId="49" fontId="2" fillId="12" borderId="0" xfId="0" applyNumberFormat="1" applyFont="1" applyFill="1" applyBorder="1" applyProtection="1">
      <protection locked="0"/>
    </xf>
    <xf numFmtId="0" fontId="2" fillId="12" borderId="6" xfId="0" applyFont="1" applyFill="1" applyBorder="1" applyProtection="1">
      <protection locked="0"/>
    </xf>
    <xf numFmtId="0" fontId="2" fillId="13" borderId="7" xfId="0" applyFont="1" applyFill="1" applyBorder="1" applyProtection="1">
      <protection locked="0"/>
    </xf>
    <xf numFmtId="0" fontId="2" fillId="12" borderId="7" xfId="0" applyFont="1" applyFill="1" applyBorder="1" applyProtection="1">
      <protection locked="0"/>
    </xf>
    <xf numFmtId="0" fontId="0" fillId="0" borderId="0" xfId="0" applyNumberFormat="1"/>
    <xf numFmtId="0" fontId="5" fillId="13" borderId="0" xfId="0" applyFont="1" applyFill="1" applyBorder="1" applyAlignment="1">
      <alignment vertical="center"/>
    </xf>
    <xf numFmtId="0" fontId="5" fillId="13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10" fontId="0" fillId="0" borderId="0" xfId="0" applyNumberFormat="1"/>
    <xf numFmtId="0" fontId="0" fillId="7" borderId="0" xfId="0" applyFill="1" applyProtection="1">
      <protection locked="0"/>
    </xf>
    <xf numFmtId="49" fontId="0" fillId="7" borderId="0" xfId="0" applyNumberFormat="1" applyFill="1" applyProtection="1">
      <protection locked="0"/>
    </xf>
    <xf numFmtId="0" fontId="0" fillId="12" borderId="0" xfId="0" applyFill="1" applyProtection="1">
      <protection hidden="1"/>
    </xf>
    <xf numFmtId="0" fontId="0" fillId="13" borderId="0" xfId="0" applyFill="1" applyProtection="1">
      <protection hidden="1"/>
    </xf>
    <xf numFmtId="0" fontId="0" fillId="13" borderId="0" xfId="0" applyFill="1" applyAlignment="1" applyProtection="1">
      <alignment horizontal="center"/>
      <protection hidden="1"/>
    </xf>
    <xf numFmtId="0" fontId="5" fillId="13" borderId="0" xfId="0" applyFont="1" applyFill="1" applyBorder="1" applyAlignment="1" applyProtection="1">
      <alignment vertical="center"/>
      <protection hidden="1"/>
    </xf>
    <xf numFmtId="165" fontId="5" fillId="13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6" borderId="0" xfId="0" applyFill="1" applyProtection="1">
      <protection locked="0"/>
    </xf>
    <xf numFmtId="49" fontId="0" fillId="6" borderId="0" xfId="0" applyNumberFormat="1" applyFill="1" applyProtection="1">
      <protection locked="0"/>
    </xf>
    <xf numFmtId="0" fontId="0" fillId="6" borderId="0" xfId="0" applyFill="1" applyAlignment="1" applyProtection="1">
      <alignment horizontal="left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0" fillId="9" borderId="0" xfId="0" applyFill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14" borderId="0" xfId="0" applyFill="1"/>
    <xf numFmtId="0" fontId="0" fillId="12" borderId="0" xfId="0" applyFill="1" applyAlignment="1" applyProtection="1">
      <protection hidden="1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15" borderId="2" xfId="0" applyFont="1" applyFill="1" applyBorder="1" applyAlignment="1" applyProtection="1">
      <alignment horizontal="center" vertical="center"/>
      <protection hidden="1"/>
    </xf>
    <xf numFmtId="0" fontId="5" fillId="15" borderId="5" xfId="0" applyFont="1" applyFill="1" applyBorder="1" applyAlignment="1" applyProtection="1">
      <alignment horizontal="center" vertical="center"/>
      <protection hidden="1"/>
    </xf>
    <xf numFmtId="0" fontId="5" fillId="15" borderId="1" xfId="0" applyFont="1" applyFill="1" applyBorder="1" applyAlignment="1">
      <alignment vertical="center"/>
    </xf>
    <xf numFmtId="0" fontId="5" fillId="15" borderId="3" xfId="0" applyFont="1" applyFill="1" applyBorder="1" applyAlignment="1">
      <alignment vertical="center"/>
    </xf>
    <xf numFmtId="0" fontId="0" fillId="16" borderId="0" xfId="0" applyFill="1" applyBorder="1"/>
    <xf numFmtId="0" fontId="5" fillId="17" borderId="4" xfId="0" applyFont="1" applyFill="1" applyBorder="1" applyAlignment="1" applyProtection="1">
      <alignment horizontal="center" vertical="center"/>
      <protection hidden="1"/>
    </xf>
    <xf numFmtId="0" fontId="5" fillId="18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1" xfId="0" applyFill="1" applyBorder="1"/>
    <xf numFmtId="0" fontId="0" fillId="16" borderId="0" xfId="0" applyFill="1" applyBorder="1" applyAlignment="1">
      <alignment horizontal="center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7" borderId="0" xfId="0" applyFont="1" applyFill="1" applyBorder="1" applyAlignment="1" applyProtection="1">
      <alignment horizontal="center" vertical="center"/>
      <protection hidden="1"/>
    </xf>
    <xf numFmtId="0" fontId="5" fillId="15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19" borderId="0" xfId="0" applyFill="1"/>
    <xf numFmtId="0" fontId="0" fillId="20" borderId="0" xfId="0" applyFill="1"/>
    <xf numFmtId="0" fontId="0" fillId="20" borderId="0" xfId="0" applyFill="1" applyAlignment="1">
      <alignment horizontal="center"/>
    </xf>
    <xf numFmtId="0" fontId="0" fillId="20" borderId="0" xfId="0" applyNumberForma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20" borderId="0" xfId="0" applyFont="1" applyFill="1" applyAlignment="1">
      <alignment horizontal="center"/>
    </xf>
    <xf numFmtId="0" fontId="0" fillId="12" borderId="0" xfId="0" applyFill="1" applyAlignment="1" applyProtection="1">
      <alignment horizontal="center"/>
      <protection hidden="1"/>
    </xf>
    <xf numFmtId="0" fontId="0" fillId="15" borderId="0" xfId="0" applyFill="1" applyAlignment="1" applyProtection="1">
      <alignment horizontal="center"/>
      <protection locked="0"/>
    </xf>
    <xf numFmtId="0" fontId="8" fillId="15" borderId="0" xfId="0" applyFont="1" applyFill="1" applyAlignment="1">
      <alignment horizontal="center" vertical="center" wrapText="1"/>
    </xf>
    <xf numFmtId="0" fontId="0" fillId="13" borderId="0" xfId="0" applyFill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/>
    </xf>
    <xf numFmtId="166" fontId="9" fillId="0" borderId="0" xfId="0" applyNumberFormat="1" applyFont="1" applyBorder="1" applyAlignment="1" applyProtection="1">
      <alignment horizontal="center" vertical="center"/>
      <protection hidden="1"/>
    </xf>
    <xf numFmtId="0" fontId="5" fillId="18" borderId="16" xfId="0" applyFont="1" applyFill="1" applyBorder="1" applyAlignment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2" fontId="5" fillId="13" borderId="0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 textRotation="255" wrapText="1"/>
      <protection hidden="1"/>
    </xf>
    <xf numFmtId="0" fontId="6" fillId="5" borderId="0" xfId="0" applyFont="1" applyFill="1" applyBorder="1" applyAlignment="1">
      <alignment horizontal="center" vertical="center" textRotation="255" wrapText="1"/>
    </xf>
    <xf numFmtId="0" fontId="5" fillId="15" borderId="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2" fontId="5" fillId="13" borderId="16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0" fontId="5" fillId="15" borderId="5" xfId="0" applyFont="1" applyFill="1" applyBorder="1" applyAlignment="1" applyProtection="1">
      <alignment horizontal="center" vertical="center"/>
      <protection hidden="1"/>
    </xf>
    <xf numFmtId="0" fontId="5" fillId="15" borderId="17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65" fontId="5" fillId="15" borderId="5" xfId="0" applyNumberFormat="1" applyFont="1" applyFill="1" applyBorder="1" applyAlignment="1" applyProtection="1">
      <alignment horizontal="center" vertical="center"/>
      <protection hidden="1"/>
    </xf>
    <xf numFmtId="165" fontId="5" fillId="15" borderId="17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2" fontId="1" fillId="15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16" xfId="0" applyFont="1" applyFill="1" applyBorder="1" applyAlignment="1" applyProtection="1">
      <alignment horizontal="center" vertical="center"/>
      <protection hidden="1"/>
    </xf>
    <xf numFmtId="0" fontId="5" fillId="17" borderId="0" xfId="0" applyFont="1" applyFill="1" applyBorder="1" applyAlignment="1" applyProtection="1">
      <alignment horizontal="center" vertical="center"/>
      <protection hidden="1"/>
    </xf>
    <xf numFmtId="0" fontId="5" fillId="15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0" borderId="0" xfId="0" applyFill="1" applyAlignment="1">
      <alignment horizontal="center"/>
    </xf>
  </cellXfs>
  <cellStyles count="1">
    <cellStyle name="Normale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idirebet.altervist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28575</xdr:rowOff>
    </xdr:from>
    <xdr:to>
      <xdr:col>4</xdr:col>
      <xdr:colOff>336002</xdr:colOff>
      <xdr:row>5</xdr:row>
      <xdr:rowOff>47625</xdr:rowOff>
    </xdr:to>
    <xdr:pic>
      <xdr:nvPicPr>
        <xdr:cNvPr id="3" name="Immagin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6ED99-3C75-4F42-AC1B-8A1BA7267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219075"/>
          <a:ext cx="1050377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F637-745D-41F7-852B-66197A6EA676}">
  <sheetPr codeName="Foglio1"/>
  <dimension ref="A1:AR44"/>
  <sheetViews>
    <sheetView tabSelected="1" zoomScale="90" zoomScaleNormal="90" workbookViewId="0">
      <selection activeCell="E10" sqref="E10"/>
    </sheetView>
  </sheetViews>
  <sheetFormatPr defaultColWidth="8.42578125" defaultRowHeight="15" x14ac:dyDescent="0.25"/>
  <cols>
    <col min="1" max="1" width="4" customWidth="1"/>
    <col min="2" max="2" width="2.7109375" customWidth="1"/>
    <col min="3" max="3" width="7" bestFit="1" customWidth="1"/>
    <col min="4" max="4" width="3.7109375" bestFit="1" customWidth="1"/>
    <col min="5" max="5" width="13.140625" bestFit="1" customWidth="1"/>
    <col min="6" max="6" width="14.140625" bestFit="1" customWidth="1"/>
    <col min="7" max="7" width="3.7109375" style="2" bestFit="1" customWidth="1"/>
    <col min="8" max="8" width="2" bestFit="1" customWidth="1"/>
    <col min="9" max="9" width="7" bestFit="1" customWidth="1"/>
    <col min="10" max="10" width="3.7109375" bestFit="1" customWidth="1"/>
    <col min="11" max="11" width="13.140625" bestFit="1" customWidth="1"/>
    <col min="12" max="12" width="15.140625" bestFit="1" customWidth="1"/>
    <col min="13" max="13" width="3.7109375" style="2" bestFit="1" customWidth="1"/>
    <col min="14" max="14" width="2" bestFit="1" customWidth="1"/>
    <col min="15" max="15" width="7" bestFit="1" customWidth="1"/>
    <col min="16" max="16" width="2.5703125" bestFit="1" customWidth="1"/>
    <col min="17" max="17" width="8.28515625" bestFit="1" customWidth="1"/>
    <col min="18" max="18" width="6.85546875" bestFit="1" customWidth="1"/>
    <col min="19" max="19" width="4.85546875" bestFit="1" customWidth="1"/>
    <col min="20" max="20" width="2" customWidth="1"/>
    <col min="21" max="21" width="3.85546875" customWidth="1"/>
    <col min="22" max="22" width="2" customWidth="1"/>
    <col min="23" max="24" width="19.42578125" style="4" customWidth="1"/>
    <col min="27" max="27" width="4.28515625" customWidth="1"/>
    <col min="30" max="30" width="6" customWidth="1"/>
    <col min="31" max="32" width="4.85546875" customWidth="1"/>
    <col min="33" max="34" width="3.5703125" customWidth="1"/>
    <col min="35" max="36" width="8.140625" customWidth="1"/>
    <col min="37" max="37" width="3.7109375" customWidth="1"/>
    <col min="38" max="38" width="9.28515625" bestFit="1" customWidth="1"/>
    <col min="39" max="39" width="10.7109375" hidden="1" customWidth="1"/>
    <col min="40" max="40" width="3.85546875" customWidth="1"/>
  </cols>
  <sheetData>
    <row r="1" spans="1:44" x14ac:dyDescent="0.25">
      <c r="A1" s="59"/>
      <c r="B1" s="59"/>
      <c r="C1" s="59"/>
      <c r="D1" s="59"/>
      <c r="E1" s="59"/>
      <c r="F1" s="59"/>
      <c r="G1" s="60"/>
      <c r="H1" s="59"/>
      <c r="I1" s="59"/>
      <c r="J1" s="59"/>
      <c r="K1" s="59"/>
      <c r="L1" s="59"/>
      <c r="M1" s="60"/>
      <c r="N1" s="59"/>
      <c r="O1" s="59"/>
      <c r="P1" s="59"/>
      <c r="Q1" s="59"/>
      <c r="R1" s="59"/>
      <c r="S1" s="59"/>
      <c r="T1" s="59"/>
      <c r="U1" s="59"/>
      <c r="V1" s="59"/>
      <c r="W1" s="61"/>
      <c r="X1" s="61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11"/>
      <c r="AN1" s="11"/>
      <c r="AO1" s="11"/>
      <c r="AP1" s="11"/>
      <c r="AQ1" s="11"/>
      <c r="AR1" s="11"/>
    </row>
    <row r="2" spans="1:44" ht="15" customHeight="1" x14ac:dyDescent="0.25">
      <c r="A2" s="59"/>
      <c r="B2" s="62"/>
      <c r="C2" s="129" t="s">
        <v>55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23"/>
      <c r="AN2" s="24"/>
      <c r="AO2" s="11"/>
      <c r="AP2" s="11"/>
      <c r="AQ2" s="11"/>
      <c r="AR2" s="11"/>
    </row>
    <row r="3" spans="1:44" ht="15" customHeight="1" x14ac:dyDescent="0.25">
      <c r="A3" s="59"/>
      <c r="B3" s="6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23"/>
      <c r="AN3" s="24"/>
      <c r="AO3" s="11"/>
      <c r="AP3" s="11"/>
      <c r="AQ3" s="11"/>
      <c r="AR3" s="11"/>
    </row>
    <row r="4" spans="1:44" ht="15" customHeight="1" x14ac:dyDescent="0.25">
      <c r="A4" s="59"/>
      <c r="B4" s="6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23"/>
      <c r="AN4" s="24"/>
      <c r="AO4" s="11"/>
      <c r="AP4" s="11"/>
      <c r="AQ4" s="11"/>
      <c r="AR4" s="11"/>
    </row>
    <row r="5" spans="1:44" ht="15" customHeight="1" x14ac:dyDescent="0.25">
      <c r="A5" s="59"/>
      <c r="B5" s="62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23"/>
      <c r="AN5" s="24"/>
      <c r="AO5" s="11"/>
      <c r="AP5" s="11"/>
      <c r="AQ5" s="11"/>
      <c r="AR5" s="11"/>
    </row>
    <row r="6" spans="1:44" x14ac:dyDescent="0.25">
      <c r="A6" s="59"/>
      <c r="B6" s="63"/>
      <c r="C6" s="51"/>
      <c r="D6" s="51"/>
      <c r="E6" s="51"/>
      <c r="F6" s="51"/>
      <c r="G6" s="52"/>
      <c r="H6" s="51"/>
      <c r="I6" s="51"/>
      <c r="J6" s="51"/>
      <c r="K6" s="51"/>
      <c r="L6" s="51"/>
      <c r="M6" s="52"/>
      <c r="N6" s="51"/>
      <c r="O6" s="51"/>
      <c r="P6" s="51"/>
      <c r="Q6" s="51"/>
      <c r="R6" s="51"/>
      <c r="S6" s="51"/>
      <c r="T6" s="51"/>
      <c r="U6" s="51"/>
      <c r="V6" s="51"/>
      <c r="W6" s="64"/>
      <c r="X6" s="64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17"/>
      <c r="AN6" s="14" t="s">
        <v>29</v>
      </c>
      <c r="AO6" s="11"/>
      <c r="AP6" s="11"/>
      <c r="AQ6" s="11"/>
      <c r="AR6" s="11"/>
    </row>
    <row r="7" spans="1:44" x14ac:dyDescent="0.25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2"/>
      <c r="N7" s="11"/>
      <c r="O7" s="11"/>
      <c r="P7" s="11"/>
      <c r="Q7" s="11"/>
      <c r="R7" s="11"/>
      <c r="S7" s="11"/>
      <c r="T7" s="11"/>
      <c r="U7" s="11"/>
      <c r="V7" s="11"/>
      <c r="W7" s="13"/>
      <c r="X7" s="13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5" t="s">
        <v>1</v>
      </c>
      <c r="AO7" s="11"/>
      <c r="AP7" s="11"/>
      <c r="AQ7" s="11"/>
      <c r="AR7" s="11"/>
    </row>
    <row r="8" spans="1:44" x14ac:dyDescent="0.25">
      <c r="A8" s="11"/>
      <c r="B8" s="11"/>
      <c r="C8" s="106" t="str">
        <f>+E9</f>
        <v>Verona</v>
      </c>
      <c r="D8" s="106"/>
      <c r="E8" s="106"/>
      <c r="F8" s="106"/>
      <c r="G8" s="106"/>
      <c r="H8" s="106"/>
      <c r="I8" s="106" t="str">
        <f>+L9</f>
        <v>Atalanta</v>
      </c>
      <c r="J8" s="106"/>
      <c r="K8" s="106"/>
      <c r="L8" s="106"/>
      <c r="M8" s="106"/>
      <c r="N8" s="106"/>
      <c r="O8" s="106" t="s">
        <v>37</v>
      </c>
      <c r="P8" s="106"/>
      <c r="Q8" s="106"/>
      <c r="R8" s="106"/>
      <c r="S8" s="106"/>
      <c r="T8" s="106"/>
      <c r="U8" s="11"/>
      <c r="V8" s="22"/>
      <c r="W8" s="92"/>
      <c r="X8" s="92"/>
      <c r="Y8" s="111"/>
      <c r="Z8" s="111"/>
      <c r="AA8" s="73"/>
      <c r="AB8" s="111"/>
      <c r="AC8" s="111"/>
      <c r="AD8" s="73"/>
      <c r="AE8" s="111"/>
      <c r="AF8" s="111"/>
      <c r="AG8" s="111"/>
      <c r="AH8" s="111"/>
      <c r="AI8" s="111"/>
      <c r="AJ8" s="111"/>
      <c r="AK8" s="73"/>
      <c r="AL8" s="73"/>
      <c r="AM8" s="9"/>
      <c r="AN8" s="15" t="s">
        <v>0</v>
      </c>
      <c r="AO8" s="11"/>
      <c r="AP8" s="11"/>
      <c r="AQ8" s="11"/>
      <c r="AR8" s="11"/>
    </row>
    <row r="9" spans="1:44" ht="15.75" customHeight="1" thickBot="1" x14ac:dyDescent="0.3">
      <c r="A9" s="11"/>
      <c r="B9" s="18"/>
      <c r="C9" s="40" t="s">
        <v>58</v>
      </c>
      <c r="D9" s="40" t="s">
        <v>79</v>
      </c>
      <c r="E9" s="40" t="s">
        <v>86</v>
      </c>
      <c r="F9" s="40" t="s">
        <v>87</v>
      </c>
      <c r="G9" s="41" t="s">
        <v>88</v>
      </c>
      <c r="H9" s="42" t="s">
        <v>0</v>
      </c>
      <c r="I9" s="44" t="s">
        <v>100</v>
      </c>
      <c r="J9" s="40" t="s">
        <v>79</v>
      </c>
      <c r="K9" s="40" t="s">
        <v>101</v>
      </c>
      <c r="L9" s="40" t="s">
        <v>94</v>
      </c>
      <c r="M9" s="41" t="s">
        <v>30</v>
      </c>
      <c r="N9" s="42" t="s">
        <v>0</v>
      </c>
      <c r="O9" s="38" t="s">
        <v>93</v>
      </c>
      <c r="P9" s="38" t="s">
        <v>79</v>
      </c>
      <c r="Q9" s="38" t="s">
        <v>86</v>
      </c>
      <c r="R9" s="38" t="s">
        <v>94</v>
      </c>
      <c r="S9" s="39" t="s">
        <v>4</v>
      </c>
      <c r="T9" s="38"/>
      <c r="U9" s="11"/>
      <c r="V9" s="18"/>
      <c r="W9" s="74" t="s">
        <v>28</v>
      </c>
      <c r="X9" s="95" t="s">
        <v>27</v>
      </c>
      <c r="Y9" s="133" t="s">
        <v>8</v>
      </c>
      <c r="Z9" s="133"/>
      <c r="AA9" s="117" t="s">
        <v>19</v>
      </c>
      <c r="AB9" s="120" t="s">
        <v>18</v>
      </c>
      <c r="AC9" s="120"/>
      <c r="AD9" s="118" t="s">
        <v>20</v>
      </c>
      <c r="AE9" s="113"/>
      <c r="AF9" s="113"/>
      <c r="AG9" s="113"/>
      <c r="AH9" s="113"/>
      <c r="AI9" s="113"/>
      <c r="AJ9" s="113"/>
      <c r="AK9" s="75"/>
      <c r="AL9" s="75"/>
      <c r="AN9" s="16"/>
      <c r="AO9" s="11"/>
      <c r="AP9" s="11"/>
      <c r="AQ9" s="11"/>
      <c r="AR9" s="11"/>
    </row>
    <row r="10" spans="1:44" ht="15.75" thickTop="1" x14ac:dyDescent="0.25">
      <c r="A10" s="11"/>
      <c r="B10" s="18"/>
      <c r="C10" s="40" t="s">
        <v>33</v>
      </c>
      <c r="D10" s="40" t="s">
        <v>79</v>
      </c>
      <c r="E10" s="40" t="s">
        <v>86</v>
      </c>
      <c r="F10" s="40" t="s">
        <v>80</v>
      </c>
      <c r="G10" s="41" t="s">
        <v>4</v>
      </c>
      <c r="H10" s="42" t="s">
        <v>2</v>
      </c>
      <c r="I10" s="44" t="s">
        <v>53</v>
      </c>
      <c r="J10" s="40" t="s">
        <v>79</v>
      </c>
      <c r="K10" s="40" t="s">
        <v>102</v>
      </c>
      <c r="L10" s="40" t="s">
        <v>94</v>
      </c>
      <c r="M10" s="41" t="s">
        <v>88</v>
      </c>
      <c r="N10" s="42" t="s">
        <v>1</v>
      </c>
      <c r="O10" s="38" t="s">
        <v>95</v>
      </c>
      <c r="P10" s="38" t="s">
        <v>79</v>
      </c>
      <c r="Q10" s="38" t="s">
        <v>86</v>
      </c>
      <c r="R10" s="38" t="s">
        <v>94</v>
      </c>
      <c r="S10" s="39" t="s">
        <v>96</v>
      </c>
      <c r="T10" s="38"/>
      <c r="U10" s="11"/>
      <c r="V10" s="18"/>
      <c r="W10" s="25" t="str">
        <f>+C8</f>
        <v>Verona</v>
      </c>
      <c r="X10" s="26" t="str">
        <f>+I8</f>
        <v>Atalanta</v>
      </c>
      <c r="Y10" s="130" t="str">
        <f>+Foglio2!AH41</f>
        <v>Over 1,5</v>
      </c>
      <c r="Z10" s="130"/>
      <c r="AA10" s="117"/>
      <c r="AB10" s="115">
        <v>1.22</v>
      </c>
      <c r="AC10" s="115"/>
      <c r="AD10" s="118"/>
      <c r="AE10" s="119" t="s">
        <v>43</v>
      </c>
      <c r="AF10" s="119"/>
      <c r="AG10" s="119"/>
      <c r="AH10" s="119" t="s">
        <v>26</v>
      </c>
      <c r="AI10" s="119"/>
      <c r="AJ10" s="119"/>
      <c r="AK10" s="72"/>
      <c r="AL10" s="72"/>
      <c r="AN10" s="11"/>
      <c r="AO10" s="11"/>
      <c r="AP10" s="11"/>
      <c r="AQ10" s="11"/>
      <c r="AR10" s="11"/>
    </row>
    <row r="11" spans="1:44" x14ac:dyDescent="0.25">
      <c r="A11" s="11"/>
      <c r="B11" s="18"/>
      <c r="C11" s="40" t="s">
        <v>89</v>
      </c>
      <c r="D11" s="40" t="s">
        <v>79</v>
      </c>
      <c r="E11" s="40" t="s">
        <v>86</v>
      </c>
      <c r="F11" s="40" t="s">
        <v>90</v>
      </c>
      <c r="G11" s="41" t="s">
        <v>7</v>
      </c>
      <c r="H11" s="42" t="s">
        <v>1</v>
      </c>
      <c r="I11" s="44" t="s">
        <v>103</v>
      </c>
      <c r="J11" s="40" t="s">
        <v>79</v>
      </c>
      <c r="K11" s="40" t="s">
        <v>104</v>
      </c>
      <c r="L11" s="40" t="s">
        <v>94</v>
      </c>
      <c r="M11" s="41" t="s">
        <v>36</v>
      </c>
      <c r="N11" s="42" t="s">
        <v>1</v>
      </c>
      <c r="O11" s="38" t="s">
        <v>97</v>
      </c>
      <c r="P11" s="38" t="s">
        <v>79</v>
      </c>
      <c r="Q11" s="38" t="s">
        <v>86</v>
      </c>
      <c r="R11" s="38" t="s">
        <v>94</v>
      </c>
      <c r="S11" s="39" t="s">
        <v>7</v>
      </c>
      <c r="T11" s="38"/>
      <c r="U11" s="11"/>
      <c r="V11" s="18"/>
      <c r="W11" s="31" t="str">
        <f>+C36</f>
        <v>Hertha</v>
      </c>
      <c r="X11" s="32" t="str">
        <f>+I36</f>
        <v>Leverkusen</v>
      </c>
      <c r="Y11" s="131" t="str">
        <f>+Foglio2!AI45</f>
        <v>Under2,5</v>
      </c>
      <c r="Z11" s="131"/>
      <c r="AA11" s="117"/>
      <c r="AB11" s="116">
        <v>2</v>
      </c>
      <c r="AC11" s="116"/>
      <c r="AD11" s="118"/>
      <c r="AE11" s="114">
        <v>10</v>
      </c>
      <c r="AF11" s="114"/>
      <c r="AG11" s="114"/>
      <c r="AH11" s="112">
        <f>+AM15+AM19+AM23+AM27-AE15-AE19-AE23-AE27</f>
        <v>-10</v>
      </c>
      <c r="AI11" s="112"/>
      <c r="AJ11" s="112"/>
      <c r="AK11" s="27"/>
      <c r="AL11" s="27"/>
      <c r="AN11" s="11"/>
      <c r="AO11" s="11"/>
      <c r="AP11" s="11"/>
      <c r="AQ11" s="11"/>
      <c r="AR11" s="11"/>
    </row>
    <row r="12" spans="1:44" x14ac:dyDescent="0.25">
      <c r="A12" s="11"/>
      <c r="B12" s="18"/>
      <c r="C12" s="40" t="s">
        <v>50</v>
      </c>
      <c r="D12" s="40" t="s">
        <v>79</v>
      </c>
      <c r="E12" s="40" t="s">
        <v>86</v>
      </c>
      <c r="F12" s="40" t="s">
        <v>91</v>
      </c>
      <c r="G12" s="41" t="s">
        <v>9</v>
      </c>
      <c r="H12" s="42" t="s">
        <v>1</v>
      </c>
      <c r="I12" s="44" t="s">
        <v>105</v>
      </c>
      <c r="J12" s="40" t="s">
        <v>79</v>
      </c>
      <c r="K12" s="40" t="s">
        <v>87</v>
      </c>
      <c r="L12" s="40" t="s">
        <v>94</v>
      </c>
      <c r="M12" s="41" t="s">
        <v>52</v>
      </c>
      <c r="N12" s="42" t="s">
        <v>1</v>
      </c>
      <c r="O12" s="38" t="s">
        <v>98</v>
      </c>
      <c r="P12" s="38" t="s">
        <v>79</v>
      </c>
      <c r="Q12" s="38" t="s">
        <v>86</v>
      </c>
      <c r="R12" s="38" t="s">
        <v>94</v>
      </c>
      <c r="S12" s="39" t="s">
        <v>30</v>
      </c>
      <c r="T12" s="38"/>
      <c r="U12" s="11"/>
      <c r="V12" s="18"/>
      <c r="W12" s="25" t="str">
        <f>+C22</f>
        <v>Roma</v>
      </c>
      <c r="X12" s="26" t="str">
        <f>+I22</f>
        <v>Napoli</v>
      </c>
      <c r="Y12" s="130" t="str">
        <f>+Foglio2!AH43</f>
        <v>OVER2,5</v>
      </c>
      <c r="Z12" s="130"/>
      <c r="AA12" s="117"/>
      <c r="AB12" s="115">
        <v>1.66</v>
      </c>
      <c r="AC12" s="115"/>
      <c r="AD12" s="118"/>
      <c r="AE12" s="46"/>
      <c r="AF12" s="46"/>
      <c r="AG12" s="46"/>
      <c r="AH12" s="46"/>
      <c r="AI12" s="46"/>
      <c r="AJ12" s="46"/>
      <c r="AK12" s="46"/>
      <c r="AL12" s="46"/>
      <c r="AN12" s="11"/>
      <c r="AO12" s="11"/>
      <c r="AP12" s="11"/>
      <c r="AQ12" s="11"/>
      <c r="AR12" s="11"/>
    </row>
    <row r="13" spans="1:44" ht="15.75" thickBot="1" x14ac:dyDescent="0.3">
      <c r="A13" s="11"/>
      <c r="B13" s="18"/>
      <c r="C13" s="40" t="s">
        <v>92</v>
      </c>
      <c r="D13" s="40" t="s">
        <v>79</v>
      </c>
      <c r="E13" s="40" t="s">
        <v>86</v>
      </c>
      <c r="F13" s="40" t="s">
        <v>82</v>
      </c>
      <c r="G13" s="41" t="s">
        <v>7</v>
      </c>
      <c r="H13" s="42" t="s">
        <v>1</v>
      </c>
      <c r="I13" s="44" t="s">
        <v>106</v>
      </c>
      <c r="J13" s="40" t="s">
        <v>79</v>
      </c>
      <c r="K13" s="40" t="s">
        <v>107</v>
      </c>
      <c r="L13" s="40" t="s">
        <v>94</v>
      </c>
      <c r="M13" s="41" t="s">
        <v>4</v>
      </c>
      <c r="N13" s="42" t="s">
        <v>2</v>
      </c>
      <c r="O13" s="38" t="s">
        <v>99</v>
      </c>
      <c r="P13" s="38" t="s">
        <v>79</v>
      </c>
      <c r="Q13" s="38" t="s">
        <v>86</v>
      </c>
      <c r="R13" s="38" t="s">
        <v>94</v>
      </c>
      <c r="S13" s="39" t="s">
        <v>7</v>
      </c>
      <c r="T13" s="38"/>
      <c r="U13" s="11"/>
      <c r="V13" s="18"/>
      <c r="W13" s="31" t="str">
        <f>+C29</f>
        <v>Hoffenheim</v>
      </c>
      <c r="X13" s="32" t="str">
        <f>+I29</f>
        <v>Magonza</v>
      </c>
      <c r="Y13" s="132" t="str">
        <f>+Foglio2!AH44</f>
        <v>OVER2,5</v>
      </c>
      <c r="Z13" s="132"/>
      <c r="AA13" s="117"/>
      <c r="AB13" s="121">
        <v>1.66</v>
      </c>
      <c r="AC13" s="121"/>
      <c r="AD13" s="118"/>
      <c r="AE13" s="123" t="s">
        <v>21</v>
      </c>
      <c r="AF13" s="124"/>
      <c r="AG13" s="123" t="s">
        <v>39</v>
      </c>
      <c r="AH13" s="124"/>
      <c r="AI13" s="123" t="s">
        <v>25</v>
      </c>
      <c r="AJ13" s="124"/>
      <c r="AK13" s="71" t="s">
        <v>78</v>
      </c>
      <c r="AL13" s="70" t="s">
        <v>26</v>
      </c>
      <c r="AM13" s="3" t="s">
        <v>26</v>
      </c>
      <c r="AN13" s="11"/>
      <c r="AO13" s="11"/>
      <c r="AP13" s="11"/>
      <c r="AQ13" s="11"/>
      <c r="AR13" s="11"/>
    </row>
    <row r="14" spans="1:44" ht="15.75" thickTop="1" x14ac:dyDescent="0.25">
      <c r="A14" s="11"/>
      <c r="B14" s="18"/>
      <c r="C14" s="51"/>
      <c r="D14" s="51"/>
      <c r="E14" s="51"/>
      <c r="F14" s="51"/>
      <c r="G14" s="52"/>
      <c r="H14" s="51"/>
      <c r="I14" s="51"/>
      <c r="J14" s="51"/>
      <c r="K14" s="51"/>
      <c r="L14" s="51"/>
      <c r="M14" s="52"/>
      <c r="N14" s="51"/>
      <c r="O14" s="51"/>
      <c r="P14" s="51"/>
      <c r="Q14" s="51"/>
      <c r="R14" s="51"/>
      <c r="S14" s="51"/>
      <c r="T14" s="51"/>
      <c r="U14" s="11"/>
      <c r="V14" s="18"/>
      <c r="W14" s="69" t="s">
        <v>28</v>
      </c>
      <c r="X14" s="96" t="s">
        <v>27</v>
      </c>
      <c r="Y14" s="134" t="s">
        <v>8</v>
      </c>
      <c r="Z14" s="134"/>
      <c r="AA14" s="117"/>
      <c r="AB14" s="119" t="s">
        <v>18</v>
      </c>
      <c r="AC14" s="119"/>
      <c r="AD14" s="118"/>
      <c r="AE14" s="56"/>
      <c r="AF14" s="56"/>
      <c r="AG14" s="56"/>
      <c r="AH14" s="56"/>
      <c r="AI14" s="56"/>
      <c r="AJ14" s="56"/>
      <c r="AK14" s="46"/>
      <c r="AL14" s="94"/>
      <c r="AM14" s="3"/>
      <c r="AN14" s="11"/>
      <c r="AO14" s="11"/>
      <c r="AP14" s="11"/>
      <c r="AQ14" s="11"/>
      <c r="AR14" s="11"/>
    </row>
    <row r="15" spans="1:44" x14ac:dyDescent="0.25">
      <c r="A15" s="11"/>
      <c r="B15" s="18"/>
      <c r="C15" s="106" t="str">
        <f>+E16</f>
        <v>Fiorentina</v>
      </c>
      <c r="D15" s="106"/>
      <c r="E15" s="106"/>
      <c r="F15" s="106"/>
      <c r="G15" s="106"/>
      <c r="H15" s="106"/>
      <c r="I15" s="106" t="str">
        <f>+L16</f>
        <v>Milan</v>
      </c>
      <c r="J15" s="106"/>
      <c r="K15" s="106"/>
      <c r="L15" s="106"/>
      <c r="M15" s="106"/>
      <c r="N15" s="106"/>
      <c r="O15" s="106" t="s">
        <v>37</v>
      </c>
      <c r="P15" s="106"/>
      <c r="Q15" s="106"/>
      <c r="R15" s="106"/>
      <c r="S15" s="106"/>
      <c r="T15" s="106"/>
      <c r="U15" s="11"/>
      <c r="V15" s="18"/>
      <c r="W15" s="25" t="str">
        <f>+C8</f>
        <v>Verona</v>
      </c>
      <c r="X15" s="26" t="str">
        <f>+I8</f>
        <v>Atalanta</v>
      </c>
      <c r="Y15" s="130" t="str">
        <f>+Foglio2!AI41</f>
        <v>Over 1,5</v>
      </c>
      <c r="Z15" s="130"/>
      <c r="AA15" s="117"/>
      <c r="AB15" s="115">
        <v>1.22</v>
      </c>
      <c r="AC15" s="115"/>
      <c r="AD15" s="118"/>
      <c r="AE15" s="109" t="str">
        <f>+Foglio2!J41&amp;""&amp;"€"</f>
        <v>2€</v>
      </c>
      <c r="AF15" s="109"/>
      <c r="AG15" s="125">
        <f>+Foglio2!D35</f>
        <v>6.7236639999999994</v>
      </c>
      <c r="AH15" s="125"/>
      <c r="AI15" s="122">
        <f>+AE15*AG15</f>
        <v>13.447327999999999</v>
      </c>
      <c r="AJ15" s="122"/>
      <c r="AK15" s="28" t="s">
        <v>29</v>
      </c>
      <c r="AL15" s="93">
        <f>IF(AK15="V",AI15-AE15,0)</f>
        <v>0</v>
      </c>
      <c r="AM15" s="8">
        <f>IF(AK15="V",AI15,0)</f>
        <v>0</v>
      </c>
      <c r="AN15" s="11"/>
      <c r="AO15" s="11"/>
      <c r="AP15" s="11"/>
      <c r="AQ15" s="11"/>
      <c r="AR15" s="11"/>
    </row>
    <row r="16" spans="1:44" x14ac:dyDescent="0.25">
      <c r="A16" s="11"/>
      <c r="B16" s="18"/>
      <c r="C16" s="35" t="s">
        <v>58</v>
      </c>
      <c r="D16" s="35" t="s">
        <v>79</v>
      </c>
      <c r="E16" s="35" t="s">
        <v>108</v>
      </c>
      <c r="F16" s="35" t="s">
        <v>90</v>
      </c>
      <c r="G16" s="36" t="s">
        <v>111</v>
      </c>
      <c r="H16" s="37" t="s">
        <v>2</v>
      </c>
      <c r="I16" s="43" t="s">
        <v>58</v>
      </c>
      <c r="J16" s="35" t="s">
        <v>79</v>
      </c>
      <c r="K16" s="35" t="s">
        <v>86</v>
      </c>
      <c r="L16" s="35" t="s">
        <v>87</v>
      </c>
      <c r="M16" s="36" t="s">
        <v>88</v>
      </c>
      <c r="N16" s="37" t="s">
        <v>1</v>
      </c>
      <c r="O16" s="33" t="s">
        <v>115</v>
      </c>
      <c r="P16" s="33" t="s">
        <v>79</v>
      </c>
      <c r="Q16" s="33" t="s">
        <v>108</v>
      </c>
      <c r="R16" s="33" t="s">
        <v>87</v>
      </c>
      <c r="S16" s="34" t="s">
        <v>4</v>
      </c>
      <c r="T16" s="33"/>
      <c r="U16" s="11"/>
      <c r="V16" s="18"/>
      <c r="W16" s="31" t="str">
        <f>+C15</f>
        <v>Fiorentina</v>
      </c>
      <c r="X16" s="32" t="str">
        <f>+I15</f>
        <v>Milan</v>
      </c>
      <c r="Y16" s="131" t="str">
        <f>+Foglio2!AI42</f>
        <v>NG</v>
      </c>
      <c r="Z16" s="131"/>
      <c r="AA16" s="117"/>
      <c r="AB16" s="116">
        <v>2</v>
      </c>
      <c r="AC16" s="116"/>
      <c r="AD16" s="118"/>
      <c r="AE16" s="57"/>
      <c r="AF16" s="57"/>
      <c r="AG16" s="56"/>
      <c r="AH16" s="56"/>
      <c r="AI16" s="56"/>
      <c r="AJ16" s="56"/>
      <c r="AK16" s="47"/>
      <c r="AL16" s="94"/>
      <c r="AM16" s="3"/>
      <c r="AN16" s="11"/>
      <c r="AO16" s="11"/>
      <c r="AP16" s="11"/>
      <c r="AQ16" s="11"/>
      <c r="AR16" s="11"/>
    </row>
    <row r="17" spans="1:44" x14ac:dyDescent="0.25">
      <c r="A17" s="11"/>
      <c r="B17" s="18"/>
      <c r="C17" s="35" t="s">
        <v>47</v>
      </c>
      <c r="D17" s="35" t="s">
        <v>79</v>
      </c>
      <c r="E17" s="35" t="s">
        <v>108</v>
      </c>
      <c r="F17" s="35" t="s">
        <v>84</v>
      </c>
      <c r="G17" s="36" t="s">
        <v>6</v>
      </c>
      <c r="H17" s="37" t="s">
        <v>0</v>
      </c>
      <c r="I17" s="43" t="s">
        <v>53</v>
      </c>
      <c r="J17" s="35" t="s">
        <v>79</v>
      </c>
      <c r="K17" s="35" t="s">
        <v>84</v>
      </c>
      <c r="L17" s="35" t="s">
        <v>87</v>
      </c>
      <c r="M17" s="36" t="s">
        <v>6</v>
      </c>
      <c r="N17" s="37" t="s">
        <v>1</v>
      </c>
      <c r="O17" s="33" t="s">
        <v>116</v>
      </c>
      <c r="P17" s="33" t="s">
        <v>79</v>
      </c>
      <c r="Q17" s="33" t="s">
        <v>108</v>
      </c>
      <c r="R17" s="33" t="s">
        <v>87</v>
      </c>
      <c r="S17" s="34" t="s">
        <v>36</v>
      </c>
      <c r="T17" s="33"/>
      <c r="U17" s="11"/>
      <c r="V17" s="18"/>
      <c r="W17" s="25" t="str">
        <f>+C36</f>
        <v>Hertha</v>
      </c>
      <c r="X17" s="26" t="str">
        <f>+I36</f>
        <v>Leverkusen</v>
      </c>
      <c r="Y17" s="130" t="str">
        <f>+Foglio2!AJ45</f>
        <v>Over 1,5</v>
      </c>
      <c r="Z17" s="130"/>
      <c r="AA17" s="117"/>
      <c r="AB17" s="115">
        <v>1.25</v>
      </c>
      <c r="AC17" s="115"/>
      <c r="AD17" s="118"/>
      <c r="AE17" s="126" t="s">
        <v>22</v>
      </c>
      <c r="AF17" s="127"/>
      <c r="AG17" s="123" t="s">
        <v>42</v>
      </c>
      <c r="AH17" s="124"/>
      <c r="AI17" s="123" t="s">
        <v>25</v>
      </c>
      <c r="AJ17" s="124"/>
      <c r="AK17" s="71" t="s">
        <v>78</v>
      </c>
      <c r="AL17" s="70" t="s">
        <v>26</v>
      </c>
      <c r="AM17" s="3" t="s">
        <v>26</v>
      </c>
      <c r="AN17" s="11"/>
      <c r="AO17" s="11"/>
      <c r="AP17" s="11"/>
      <c r="AQ17" s="11"/>
      <c r="AR17" s="11"/>
    </row>
    <row r="18" spans="1:44" ht="15.75" thickBot="1" x14ac:dyDescent="0.3">
      <c r="A18" s="11"/>
      <c r="B18" s="18"/>
      <c r="C18" s="35" t="s">
        <v>64</v>
      </c>
      <c r="D18" s="35" t="s">
        <v>79</v>
      </c>
      <c r="E18" s="35" t="s">
        <v>108</v>
      </c>
      <c r="F18" s="35" t="s">
        <v>81</v>
      </c>
      <c r="G18" s="36" t="s">
        <v>35</v>
      </c>
      <c r="H18" s="37" t="s">
        <v>1</v>
      </c>
      <c r="I18" s="43" t="s">
        <v>32</v>
      </c>
      <c r="J18" s="35" t="s">
        <v>79</v>
      </c>
      <c r="K18" s="35" t="s">
        <v>81</v>
      </c>
      <c r="L18" s="35" t="s">
        <v>87</v>
      </c>
      <c r="M18" s="36" t="s">
        <v>3</v>
      </c>
      <c r="N18" s="37" t="s">
        <v>0</v>
      </c>
      <c r="O18" s="33" t="s">
        <v>117</v>
      </c>
      <c r="P18" s="33" t="s">
        <v>79</v>
      </c>
      <c r="Q18" s="33" t="s">
        <v>108</v>
      </c>
      <c r="R18" s="33" t="s">
        <v>87</v>
      </c>
      <c r="S18" s="34" t="s">
        <v>4</v>
      </c>
      <c r="T18" s="33"/>
      <c r="U18" s="11"/>
      <c r="V18" s="18"/>
      <c r="W18" s="31" t="str">
        <f>+C29</f>
        <v>Hoffenheim</v>
      </c>
      <c r="X18" s="32" t="str">
        <f>+I29</f>
        <v>Magonza</v>
      </c>
      <c r="Y18" s="132" t="str">
        <f>+Foglio2!AI44</f>
        <v>X</v>
      </c>
      <c r="Z18" s="132"/>
      <c r="AA18" s="117"/>
      <c r="AB18" s="121">
        <v>3.75</v>
      </c>
      <c r="AC18" s="121"/>
      <c r="AD18" s="118"/>
      <c r="AE18" s="57"/>
      <c r="AF18" s="57"/>
      <c r="AG18" s="56"/>
      <c r="AH18" s="56"/>
      <c r="AI18" s="56"/>
      <c r="AJ18" s="56"/>
      <c r="AK18" s="47"/>
      <c r="AL18" s="94"/>
      <c r="AM18" s="3"/>
      <c r="AN18" s="11"/>
      <c r="AO18" s="11"/>
      <c r="AP18" s="11"/>
      <c r="AQ18" s="11"/>
      <c r="AR18" s="11"/>
    </row>
    <row r="19" spans="1:44" ht="15.75" thickTop="1" x14ac:dyDescent="0.25">
      <c r="A19" s="11"/>
      <c r="B19" s="18"/>
      <c r="C19" s="35" t="s">
        <v>114</v>
      </c>
      <c r="D19" s="35" t="s">
        <v>79</v>
      </c>
      <c r="E19" s="35" t="s">
        <v>108</v>
      </c>
      <c r="F19" s="35" t="s">
        <v>101</v>
      </c>
      <c r="G19" s="36" t="s">
        <v>88</v>
      </c>
      <c r="H19" s="37" t="s">
        <v>0</v>
      </c>
      <c r="I19" s="43" t="s">
        <v>31</v>
      </c>
      <c r="J19" s="35" t="s">
        <v>79</v>
      </c>
      <c r="K19" s="35" t="s">
        <v>85</v>
      </c>
      <c r="L19" s="35" t="s">
        <v>87</v>
      </c>
      <c r="M19" s="36" t="s">
        <v>6</v>
      </c>
      <c r="N19" s="37" t="s">
        <v>1</v>
      </c>
      <c r="O19" s="33" t="s">
        <v>118</v>
      </c>
      <c r="P19" s="33" t="s">
        <v>79</v>
      </c>
      <c r="Q19" s="33" t="s">
        <v>108</v>
      </c>
      <c r="R19" s="33" t="s">
        <v>87</v>
      </c>
      <c r="S19" s="34" t="s">
        <v>5</v>
      </c>
      <c r="T19" s="33"/>
      <c r="U19" s="11"/>
      <c r="V19" s="18"/>
      <c r="W19" s="69" t="s">
        <v>28</v>
      </c>
      <c r="X19" s="96" t="s">
        <v>27</v>
      </c>
      <c r="Y19" s="134" t="s">
        <v>8</v>
      </c>
      <c r="Z19" s="134"/>
      <c r="AA19" s="117"/>
      <c r="AB19" s="119" t="s">
        <v>18</v>
      </c>
      <c r="AC19" s="119"/>
      <c r="AD19" s="118"/>
      <c r="AE19" s="109" t="str">
        <f>+Foglio2!J42&amp;""&amp;"€"</f>
        <v>2€</v>
      </c>
      <c r="AF19" s="109"/>
      <c r="AG19" s="125">
        <f>+Foglio2!D40</f>
        <v>11.4375</v>
      </c>
      <c r="AH19" s="125"/>
      <c r="AI19" s="122">
        <f>+AE19*AG19</f>
        <v>22.875</v>
      </c>
      <c r="AJ19" s="122"/>
      <c r="AK19" s="28" t="s">
        <v>29</v>
      </c>
      <c r="AL19" s="93">
        <f>IF(AK19="V",AI19-AE19,0)</f>
        <v>0</v>
      </c>
      <c r="AM19" s="8">
        <f>IF(AK19="V",AI19,0)</f>
        <v>0</v>
      </c>
      <c r="AN19" s="11"/>
      <c r="AO19" s="11"/>
      <c r="AP19" s="11"/>
      <c r="AQ19" s="11"/>
      <c r="AR19" s="11"/>
    </row>
    <row r="20" spans="1:44" x14ac:dyDescent="0.25">
      <c r="A20" s="11"/>
      <c r="B20" s="18"/>
      <c r="C20" s="35" t="s">
        <v>105</v>
      </c>
      <c r="D20" s="35" t="s">
        <v>79</v>
      </c>
      <c r="E20" s="35" t="s">
        <v>108</v>
      </c>
      <c r="F20" s="35" t="s">
        <v>82</v>
      </c>
      <c r="G20" s="36" t="s">
        <v>7</v>
      </c>
      <c r="H20" s="37" t="s">
        <v>1</v>
      </c>
      <c r="I20" s="43" t="s">
        <v>120</v>
      </c>
      <c r="J20" s="35" t="s">
        <v>79</v>
      </c>
      <c r="K20" s="35" t="s">
        <v>104</v>
      </c>
      <c r="L20" s="35" t="s">
        <v>87</v>
      </c>
      <c r="M20" s="36" t="s">
        <v>88</v>
      </c>
      <c r="N20" s="37" t="s">
        <v>1</v>
      </c>
      <c r="O20" s="33" t="s">
        <v>119</v>
      </c>
      <c r="P20" s="33" t="s">
        <v>79</v>
      </c>
      <c r="Q20" s="33" t="s">
        <v>108</v>
      </c>
      <c r="R20" s="33" t="s">
        <v>87</v>
      </c>
      <c r="S20" s="34" t="s">
        <v>3</v>
      </c>
      <c r="T20" s="33"/>
      <c r="U20" s="11"/>
      <c r="V20" s="18"/>
      <c r="W20" s="25" t="str">
        <f>+C8</f>
        <v>Verona</v>
      </c>
      <c r="X20" s="26" t="str">
        <f>+I8</f>
        <v>Atalanta</v>
      </c>
      <c r="Y20" s="130" t="str">
        <f>+Foglio2!AJ41</f>
        <v>Under2,5</v>
      </c>
      <c r="Z20" s="130"/>
      <c r="AA20" s="117"/>
      <c r="AB20" s="115">
        <v>2.1</v>
      </c>
      <c r="AC20" s="115"/>
      <c r="AD20" s="118"/>
      <c r="AE20" s="57"/>
      <c r="AF20" s="57"/>
      <c r="AG20" s="56"/>
      <c r="AH20" s="56"/>
      <c r="AI20" s="56"/>
      <c r="AJ20" s="56"/>
      <c r="AK20" s="47"/>
      <c r="AL20" s="94"/>
      <c r="AM20" s="3"/>
      <c r="AN20" s="11"/>
      <c r="AO20" s="11"/>
      <c r="AP20" s="11"/>
      <c r="AQ20" s="11"/>
      <c r="AR20" s="11"/>
    </row>
    <row r="21" spans="1:44" x14ac:dyDescent="0.25">
      <c r="A21" s="11"/>
      <c r="B21" s="18"/>
      <c r="C21" s="51"/>
      <c r="D21" s="51"/>
      <c r="E21" s="51"/>
      <c r="F21" s="51"/>
      <c r="G21" s="52"/>
      <c r="H21" s="51"/>
      <c r="I21" s="51"/>
      <c r="J21" s="51"/>
      <c r="K21" s="51"/>
      <c r="L21" s="51"/>
      <c r="M21" s="52"/>
      <c r="N21" s="51"/>
      <c r="O21" s="51"/>
      <c r="P21" s="51"/>
      <c r="Q21" s="51"/>
      <c r="R21" s="51"/>
      <c r="S21" s="51"/>
      <c r="T21" s="51"/>
      <c r="U21" s="11"/>
      <c r="V21" s="18"/>
      <c r="W21" s="31" t="str">
        <f>+C15</f>
        <v>Fiorentina</v>
      </c>
      <c r="X21" s="32" t="str">
        <f>+I15</f>
        <v>Milan</v>
      </c>
      <c r="Y21" s="131" t="str">
        <f>+Foglio2!AJ42</f>
        <v>NG</v>
      </c>
      <c r="Z21" s="131"/>
      <c r="AA21" s="117"/>
      <c r="AB21" s="116">
        <v>2</v>
      </c>
      <c r="AC21" s="116"/>
      <c r="AD21" s="118"/>
      <c r="AE21" s="126" t="s">
        <v>23</v>
      </c>
      <c r="AF21" s="127"/>
      <c r="AG21" s="123" t="s">
        <v>41</v>
      </c>
      <c r="AH21" s="124"/>
      <c r="AI21" s="123" t="s">
        <v>25</v>
      </c>
      <c r="AJ21" s="124"/>
      <c r="AK21" s="71" t="s">
        <v>78</v>
      </c>
      <c r="AL21" s="70" t="s">
        <v>26</v>
      </c>
      <c r="AM21" s="3" t="s">
        <v>26</v>
      </c>
      <c r="AN21" s="11"/>
      <c r="AO21" s="11"/>
      <c r="AP21" s="11"/>
      <c r="AQ21" s="11"/>
      <c r="AR21" s="11"/>
    </row>
    <row r="22" spans="1:44" x14ac:dyDescent="0.25">
      <c r="A22" s="11"/>
      <c r="B22" s="18"/>
      <c r="C22" s="106" t="str">
        <f>+E23</f>
        <v>Roma</v>
      </c>
      <c r="D22" s="106"/>
      <c r="E22" s="106"/>
      <c r="F22" s="106"/>
      <c r="G22" s="106"/>
      <c r="H22" s="106"/>
      <c r="I22" s="106" t="str">
        <f>+L23</f>
        <v>Napoli</v>
      </c>
      <c r="J22" s="106"/>
      <c r="K22" s="106"/>
      <c r="L22" s="106"/>
      <c r="M22" s="106"/>
      <c r="N22" s="106"/>
      <c r="O22" s="106" t="s">
        <v>37</v>
      </c>
      <c r="P22" s="106"/>
      <c r="Q22" s="106"/>
      <c r="R22" s="106"/>
      <c r="S22" s="106"/>
      <c r="T22" s="106"/>
      <c r="U22" s="11"/>
      <c r="V22" s="18"/>
      <c r="W22" s="25" t="str">
        <f>+C22</f>
        <v>Roma</v>
      </c>
      <c r="X22" s="26" t="str">
        <f>+I22</f>
        <v>Napoli</v>
      </c>
      <c r="Y22" s="130" t="str">
        <f>+Foglio2!AJ43</f>
        <v>Over 1,5</v>
      </c>
      <c r="Z22" s="130"/>
      <c r="AA22" s="117"/>
      <c r="AB22" s="115">
        <v>1.2</v>
      </c>
      <c r="AC22" s="115"/>
      <c r="AD22" s="118"/>
      <c r="AE22" s="57"/>
      <c r="AF22" s="57"/>
      <c r="AG22" s="56"/>
      <c r="AH22" s="56"/>
      <c r="AI22" s="56"/>
      <c r="AJ22" s="56"/>
      <c r="AK22" s="47"/>
      <c r="AL22" s="94"/>
      <c r="AM22" s="3"/>
      <c r="AN22" s="11"/>
      <c r="AO22" s="11"/>
      <c r="AP22" s="11"/>
      <c r="AQ22" s="11"/>
      <c r="AR22" s="11"/>
    </row>
    <row r="23" spans="1:44" ht="15.75" thickBot="1" x14ac:dyDescent="0.3">
      <c r="A23" s="11"/>
      <c r="B23" s="18"/>
      <c r="C23" s="40" t="s">
        <v>58</v>
      </c>
      <c r="D23" s="40" t="s">
        <v>79</v>
      </c>
      <c r="E23" s="40" t="s">
        <v>84</v>
      </c>
      <c r="F23" s="40" t="s">
        <v>121</v>
      </c>
      <c r="G23" s="41" t="s">
        <v>30</v>
      </c>
      <c r="H23" s="42" t="s">
        <v>1</v>
      </c>
      <c r="I23" s="44" t="s">
        <v>63</v>
      </c>
      <c r="J23" s="40" t="s">
        <v>79</v>
      </c>
      <c r="K23" s="40" t="s">
        <v>87</v>
      </c>
      <c r="L23" s="40" t="s">
        <v>91</v>
      </c>
      <c r="M23" s="41" t="s">
        <v>36</v>
      </c>
      <c r="N23" s="42" t="s">
        <v>1</v>
      </c>
      <c r="O23" s="38" t="s">
        <v>123</v>
      </c>
      <c r="P23" s="38" t="s">
        <v>79</v>
      </c>
      <c r="Q23" s="38" t="s">
        <v>84</v>
      </c>
      <c r="R23" s="38" t="s">
        <v>91</v>
      </c>
      <c r="S23" s="39" t="s">
        <v>7</v>
      </c>
      <c r="T23" s="38"/>
      <c r="U23" s="11"/>
      <c r="V23" s="18"/>
      <c r="W23" s="31" t="str">
        <f>+C36</f>
        <v>Hertha</v>
      </c>
      <c r="X23" s="32" t="str">
        <f>+I36</f>
        <v>Leverkusen</v>
      </c>
      <c r="Y23" s="132" t="str">
        <f>+Foglio2!AH45</f>
        <v>OVER2,5</v>
      </c>
      <c r="Z23" s="132"/>
      <c r="AA23" s="117"/>
      <c r="AB23" s="121">
        <v>1.8</v>
      </c>
      <c r="AC23" s="121"/>
      <c r="AD23" s="118"/>
      <c r="AE23" s="128" t="str">
        <f>+Foglio2!J43&amp;""&amp;"€"</f>
        <v>2€</v>
      </c>
      <c r="AF23" s="128"/>
      <c r="AG23" s="125">
        <f>+Foglio2!D45</f>
        <v>9.072000000000001</v>
      </c>
      <c r="AH23" s="125"/>
      <c r="AI23" s="122">
        <f>+AE23*AG23</f>
        <v>18.144000000000002</v>
      </c>
      <c r="AJ23" s="122"/>
      <c r="AK23" s="28" t="s">
        <v>29</v>
      </c>
      <c r="AL23" s="93">
        <f>IF(AK23="V",AI23-AE23,0)</f>
        <v>0</v>
      </c>
      <c r="AM23" s="8">
        <f>IF(AK23="V",AI23,0)</f>
        <v>0</v>
      </c>
      <c r="AN23" s="11"/>
      <c r="AO23" s="11"/>
      <c r="AP23" s="11"/>
      <c r="AQ23" s="11"/>
      <c r="AR23" s="11"/>
    </row>
    <row r="24" spans="1:44" ht="15.75" thickTop="1" x14ac:dyDescent="0.25">
      <c r="A24" s="11"/>
      <c r="B24" s="18"/>
      <c r="C24" s="40" t="s">
        <v>53</v>
      </c>
      <c r="D24" s="40" t="s">
        <v>79</v>
      </c>
      <c r="E24" s="40" t="s">
        <v>84</v>
      </c>
      <c r="F24" s="40" t="s">
        <v>87</v>
      </c>
      <c r="G24" s="41" t="s">
        <v>6</v>
      </c>
      <c r="H24" s="42" t="s">
        <v>0</v>
      </c>
      <c r="I24" s="44" t="s">
        <v>47</v>
      </c>
      <c r="J24" s="40" t="s">
        <v>79</v>
      </c>
      <c r="K24" s="40" t="s">
        <v>112</v>
      </c>
      <c r="L24" s="40" t="s">
        <v>91</v>
      </c>
      <c r="M24" s="41" t="s">
        <v>111</v>
      </c>
      <c r="N24" s="42" t="s">
        <v>2</v>
      </c>
      <c r="O24" s="38" t="s">
        <v>124</v>
      </c>
      <c r="P24" s="38" t="s">
        <v>79</v>
      </c>
      <c r="Q24" s="38" t="s">
        <v>84</v>
      </c>
      <c r="R24" s="38" t="s">
        <v>91</v>
      </c>
      <c r="S24" s="39" t="s">
        <v>54</v>
      </c>
      <c r="T24" s="38"/>
      <c r="U24" s="11"/>
      <c r="V24" s="18"/>
      <c r="W24" s="69" t="s">
        <v>28</v>
      </c>
      <c r="X24" s="96" t="s">
        <v>27</v>
      </c>
      <c r="Y24" s="134" t="s">
        <v>8</v>
      </c>
      <c r="Z24" s="134"/>
      <c r="AA24" s="117"/>
      <c r="AB24" s="119" t="s">
        <v>18</v>
      </c>
      <c r="AC24" s="119"/>
      <c r="AD24" s="118"/>
      <c r="AE24" s="57"/>
      <c r="AF24" s="57"/>
      <c r="AG24" s="56"/>
      <c r="AH24" s="56"/>
      <c r="AI24" s="56"/>
      <c r="AJ24" s="56"/>
      <c r="AK24" s="47"/>
      <c r="AL24" s="94"/>
      <c r="AM24" s="3"/>
      <c r="AN24" s="11"/>
      <c r="AO24" s="11"/>
      <c r="AP24" s="11"/>
      <c r="AQ24" s="11"/>
      <c r="AR24" s="11"/>
    </row>
    <row r="25" spans="1:44" x14ac:dyDescent="0.25">
      <c r="A25" s="11"/>
      <c r="B25" s="18"/>
      <c r="C25" s="40" t="s">
        <v>103</v>
      </c>
      <c r="D25" s="40" t="s">
        <v>79</v>
      </c>
      <c r="E25" s="40" t="s">
        <v>84</v>
      </c>
      <c r="F25" s="40" t="s">
        <v>107</v>
      </c>
      <c r="G25" s="41" t="s">
        <v>35</v>
      </c>
      <c r="H25" s="42" t="s">
        <v>1</v>
      </c>
      <c r="I25" s="44" t="s">
        <v>51</v>
      </c>
      <c r="J25" s="40" t="s">
        <v>79</v>
      </c>
      <c r="K25" s="40" t="s">
        <v>94</v>
      </c>
      <c r="L25" s="40" t="s">
        <v>91</v>
      </c>
      <c r="M25" s="41" t="s">
        <v>110</v>
      </c>
      <c r="N25" s="42" t="s">
        <v>0</v>
      </c>
      <c r="O25" s="38" t="s">
        <v>125</v>
      </c>
      <c r="P25" s="38" t="s">
        <v>79</v>
      </c>
      <c r="Q25" s="38" t="s">
        <v>84</v>
      </c>
      <c r="R25" s="38" t="s">
        <v>91</v>
      </c>
      <c r="S25" s="39" t="s">
        <v>36</v>
      </c>
      <c r="T25" s="38"/>
      <c r="U25" s="11"/>
      <c r="V25" s="18"/>
      <c r="W25" s="25" t="str">
        <f>+C8</f>
        <v>Verona</v>
      </c>
      <c r="X25" s="26" t="str">
        <f>+I8</f>
        <v>Atalanta</v>
      </c>
      <c r="Y25" s="130" t="str">
        <f>+Foglio2!AK41</f>
        <v>Over 1,5</v>
      </c>
      <c r="Z25" s="130"/>
      <c r="AA25" s="117"/>
      <c r="AB25" s="115">
        <v>1.22</v>
      </c>
      <c r="AC25" s="115"/>
      <c r="AD25" s="118"/>
      <c r="AE25" s="126" t="s">
        <v>24</v>
      </c>
      <c r="AF25" s="127"/>
      <c r="AG25" s="123" t="s">
        <v>40</v>
      </c>
      <c r="AH25" s="124"/>
      <c r="AI25" s="123" t="s">
        <v>25</v>
      </c>
      <c r="AJ25" s="124"/>
      <c r="AK25" s="71" t="s">
        <v>78</v>
      </c>
      <c r="AL25" s="70" t="s">
        <v>26</v>
      </c>
      <c r="AM25" s="3" t="s">
        <v>26</v>
      </c>
      <c r="AN25" s="11"/>
      <c r="AO25" s="11"/>
      <c r="AP25" s="11"/>
      <c r="AQ25" s="11"/>
      <c r="AR25" s="11"/>
    </row>
    <row r="26" spans="1:44" x14ac:dyDescent="0.25">
      <c r="A26" s="11"/>
      <c r="B26" s="18"/>
      <c r="C26" s="40" t="s">
        <v>113</v>
      </c>
      <c r="D26" s="40" t="s">
        <v>79</v>
      </c>
      <c r="E26" s="40" t="s">
        <v>84</v>
      </c>
      <c r="F26" s="40" t="s">
        <v>86</v>
      </c>
      <c r="G26" s="41" t="s">
        <v>9</v>
      </c>
      <c r="H26" s="42" t="s">
        <v>1</v>
      </c>
      <c r="I26" s="44" t="s">
        <v>83</v>
      </c>
      <c r="J26" s="40" t="s">
        <v>79</v>
      </c>
      <c r="K26" s="40" t="s">
        <v>121</v>
      </c>
      <c r="L26" s="40" t="s">
        <v>91</v>
      </c>
      <c r="M26" s="41" t="s">
        <v>7</v>
      </c>
      <c r="N26" s="42" t="s">
        <v>0</v>
      </c>
      <c r="O26" s="38" t="s">
        <v>126</v>
      </c>
      <c r="P26" s="38" t="s">
        <v>79</v>
      </c>
      <c r="Q26" s="38" t="s">
        <v>84</v>
      </c>
      <c r="R26" s="38" t="s">
        <v>91</v>
      </c>
      <c r="S26" s="39" t="s">
        <v>6</v>
      </c>
      <c r="T26" s="38"/>
      <c r="U26" s="11"/>
      <c r="V26" s="18"/>
      <c r="W26" s="31" t="str">
        <f>+C15</f>
        <v>Fiorentina</v>
      </c>
      <c r="X26" s="32" t="str">
        <f>+I15</f>
        <v>Milan</v>
      </c>
      <c r="Y26" s="131" t="str">
        <f>+Foglio2!AK42</f>
        <v>UNDER2,5</v>
      </c>
      <c r="Z26" s="131"/>
      <c r="AA26" s="117"/>
      <c r="AB26" s="116">
        <v>1.9</v>
      </c>
      <c r="AC26" s="116"/>
      <c r="AD26" s="118"/>
      <c r="AE26" s="57"/>
      <c r="AF26" s="57"/>
      <c r="AG26" s="56"/>
      <c r="AH26" s="56"/>
      <c r="AI26" s="56"/>
      <c r="AJ26" s="56"/>
      <c r="AK26" s="47"/>
      <c r="AL26" s="94"/>
      <c r="AM26" s="3"/>
      <c r="AN26" s="11"/>
      <c r="AO26" s="11"/>
      <c r="AP26" s="11"/>
      <c r="AQ26" s="11"/>
      <c r="AR26" s="11"/>
    </row>
    <row r="27" spans="1:44" x14ac:dyDescent="0.25">
      <c r="A27" s="11"/>
      <c r="B27" s="18"/>
      <c r="C27" s="40" t="s">
        <v>105</v>
      </c>
      <c r="D27" s="40" t="s">
        <v>79</v>
      </c>
      <c r="E27" s="40" t="s">
        <v>84</v>
      </c>
      <c r="F27" s="40" t="s">
        <v>81</v>
      </c>
      <c r="G27" s="41" t="s">
        <v>122</v>
      </c>
      <c r="H27" s="42" t="s">
        <v>1</v>
      </c>
      <c r="I27" s="44" t="s">
        <v>50</v>
      </c>
      <c r="J27" s="40" t="s">
        <v>79</v>
      </c>
      <c r="K27" s="40" t="s">
        <v>86</v>
      </c>
      <c r="L27" s="40" t="s">
        <v>91</v>
      </c>
      <c r="M27" s="41" t="s">
        <v>9</v>
      </c>
      <c r="N27" s="42" t="s">
        <v>0</v>
      </c>
      <c r="O27" s="38" t="s">
        <v>127</v>
      </c>
      <c r="P27" s="38" t="s">
        <v>79</v>
      </c>
      <c r="Q27" s="38" t="s">
        <v>84</v>
      </c>
      <c r="R27" s="38" t="s">
        <v>91</v>
      </c>
      <c r="S27" s="39" t="s">
        <v>30</v>
      </c>
      <c r="T27" s="38"/>
      <c r="U27" s="11"/>
      <c r="V27" s="18"/>
      <c r="W27" s="25" t="str">
        <f>+C22</f>
        <v>Roma</v>
      </c>
      <c r="X27" s="26" t="str">
        <f>+I22</f>
        <v>Napoli</v>
      </c>
      <c r="Y27" s="130" t="str">
        <f>+Foglio2!AK43</f>
        <v>Over 1,5</v>
      </c>
      <c r="Z27" s="130"/>
      <c r="AA27" s="117"/>
      <c r="AB27" s="115">
        <v>1.2</v>
      </c>
      <c r="AC27" s="115"/>
      <c r="AD27" s="118"/>
      <c r="AE27" s="109" t="str">
        <f>+Foglio2!J44&amp;""&amp;"€"</f>
        <v>4€</v>
      </c>
      <c r="AF27" s="109"/>
      <c r="AG27" s="125">
        <f>+Foglio2!D50</f>
        <v>3.3935520000000001</v>
      </c>
      <c r="AH27" s="125"/>
      <c r="AI27" s="122">
        <f>+AE27*AG27</f>
        <v>13.574208</v>
      </c>
      <c r="AJ27" s="122"/>
      <c r="AK27" s="28" t="s">
        <v>29</v>
      </c>
      <c r="AL27" s="93">
        <f>IF(AK27="V",AI27-AE27,0)</f>
        <v>0</v>
      </c>
      <c r="AM27" s="8">
        <f>IF(AK27="V",AI27,0)</f>
        <v>0</v>
      </c>
      <c r="AN27" s="11"/>
      <c r="AO27" s="11"/>
      <c r="AP27" s="11"/>
      <c r="AQ27" s="11"/>
      <c r="AR27" s="11"/>
    </row>
    <row r="28" spans="1:44" x14ac:dyDescent="0.25">
      <c r="A28" s="11"/>
      <c r="B28" s="18"/>
      <c r="C28" s="51"/>
      <c r="D28" s="51"/>
      <c r="E28" s="51"/>
      <c r="F28" s="51"/>
      <c r="G28" s="52"/>
      <c r="H28" s="51"/>
      <c r="I28" s="51"/>
      <c r="J28" s="51"/>
      <c r="K28" s="51"/>
      <c r="L28" s="51"/>
      <c r="M28" s="52"/>
      <c r="N28" s="51"/>
      <c r="O28" s="51"/>
      <c r="P28" s="51"/>
      <c r="Q28" s="51"/>
      <c r="R28" s="51"/>
      <c r="S28" s="51"/>
      <c r="T28" s="51"/>
      <c r="U28" s="11"/>
      <c r="V28" s="18"/>
      <c r="W28" s="31" t="str">
        <f>+C29</f>
        <v>Hoffenheim</v>
      </c>
      <c r="X28" s="32" t="str">
        <f>+I29</f>
        <v>Magonza</v>
      </c>
      <c r="Y28" s="131" t="str">
        <f>+Foglio2!AK44</f>
        <v>Over 1,5</v>
      </c>
      <c r="Z28" s="131"/>
      <c r="AA28" s="117"/>
      <c r="AB28" s="116">
        <v>1.22</v>
      </c>
      <c r="AC28" s="116"/>
      <c r="AD28" s="118"/>
      <c r="AE28" s="110"/>
      <c r="AF28" s="110"/>
      <c r="AG28" s="110"/>
      <c r="AH28" s="110"/>
      <c r="AI28" s="110"/>
      <c r="AJ28" s="110"/>
      <c r="AK28" s="110"/>
      <c r="AL28" s="110"/>
      <c r="AN28" s="11"/>
      <c r="AO28" s="11"/>
      <c r="AP28" s="11"/>
      <c r="AQ28" s="11"/>
      <c r="AR28" s="11"/>
    </row>
    <row r="29" spans="1:44" x14ac:dyDescent="0.25">
      <c r="A29" s="11"/>
      <c r="B29" s="18"/>
      <c r="C29" s="106" t="str">
        <f>+E30</f>
        <v>Hoffenheim</v>
      </c>
      <c r="D29" s="106"/>
      <c r="E29" s="106"/>
      <c r="F29" s="106"/>
      <c r="G29" s="106"/>
      <c r="H29" s="106"/>
      <c r="I29" s="106" t="str">
        <f>+L30</f>
        <v>Magonza</v>
      </c>
      <c r="J29" s="106"/>
      <c r="K29" s="106"/>
      <c r="L29" s="106"/>
      <c r="M29" s="106"/>
      <c r="N29" s="106"/>
      <c r="O29" s="106" t="s">
        <v>37</v>
      </c>
      <c r="P29" s="106"/>
      <c r="Q29" s="106"/>
      <c r="R29" s="106"/>
      <c r="S29" s="106"/>
      <c r="T29" s="106"/>
      <c r="U29" s="11"/>
      <c r="V29" s="19"/>
      <c r="W29" s="20"/>
      <c r="X29" s="20"/>
      <c r="Y29" s="20"/>
      <c r="Z29" s="20"/>
      <c r="AA29" s="21"/>
      <c r="AB29" s="20"/>
      <c r="AC29" s="20"/>
      <c r="AD29" s="20"/>
      <c r="AE29" s="20"/>
      <c r="AF29" s="20"/>
      <c r="AG29" s="21"/>
      <c r="AH29" s="20"/>
      <c r="AI29" s="20"/>
      <c r="AJ29" s="20"/>
      <c r="AK29" s="20"/>
      <c r="AL29" s="20"/>
      <c r="AN29" s="11"/>
      <c r="AO29" s="11"/>
      <c r="AP29" s="11"/>
      <c r="AQ29" s="11"/>
      <c r="AR29" s="11"/>
    </row>
    <row r="30" spans="1:44" x14ac:dyDescent="0.25">
      <c r="A30" s="11"/>
      <c r="B30" s="18"/>
      <c r="C30" s="35" t="s">
        <v>67</v>
      </c>
      <c r="D30" s="35" t="s">
        <v>129</v>
      </c>
      <c r="E30" s="35" t="s">
        <v>131</v>
      </c>
      <c r="F30" s="35" t="s">
        <v>137</v>
      </c>
      <c r="G30" s="36" t="s">
        <v>7</v>
      </c>
      <c r="H30" s="37" t="s">
        <v>1</v>
      </c>
      <c r="I30" s="43" t="s">
        <v>143</v>
      </c>
      <c r="J30" s="35" t="s">
        <v>129</v>
      </c>
      <c r="K30" s="35" t="s">
        <v>144</v>
      </c>
      <c r="L30" s="35" t="s">
        <v>130</v>
      </c>
      <c r="M30" s="36" t="s">
        <v>5</v>
      </c>
      <c r="N30" s="37" t="s">
        <v>2</v>
      </c>
      <c r="O30" s="33" t="s">
        <v>128</v>
      </c>
      <c r="P30" s="33" t="s">
        <v>129</v>
      </c>
      <c r="Q30" s="33" t="s">
        <v>130</v>
      </c>
      <c r="R30" s="33" t="s">
        <v>131</v>
      </c>
      <c r="S30" s="34" t="s">
        <v>4</v>
      </c>
      <c r="T30" s="33"/>
      <c r="U30" s="11"/>
      <c r="V30" s="11"/>
      <c r="W30" s="13"/>
      <c r="X30" s="13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x14ac:dyDescent="0.25">
      <c r="A31" s="11"/>
      <c r="B31" s="18"/>
      <c r="C31" s="35" t="s">
        <v>51</v>
      </c>
      <c r="D31" s="35" t="s">
        <v>129</v>
      </c>
      <c r="E31" s="35" t="s">
        <v>131</v>
      </c>
      <c r="F31" s="35" t="s">
        <v>138</v>
      </c>
      <c r="G31" s="36" t="s">
        <v>142</v>
      </c>
      <c r="H31" s="37" t="s">
        <v>1</v>
      </c>
      <c r="I31" s="43" t="s">
        <v>48</v>
      </c>
      <c r="J31" s="35" t="s">
        <v>129</v>
      </c>
      <c r="K31" s="35" t="s">
        <v>145</v>
      </c>
      <c r="L31" s="35" t="s">
        <v>130</v>
      </c>
      <c r="M31" s="36" t="s">
        <v>6</v>
      </c>
      <c r="N31" s="37" t="s">
        <v>1</v>
      </c>
      <c r="O31" s="33" t="s">
        <v>132</v>
      </c>
      <c r="P31" s="33" t="s">
        <v>129</v>
      </c>
      <c r="Q31" s="33" t="s">
        <v>130</v>
      </c>
      <c r="R31" s="33" t="s">
        <v>131</v>
      </c>
      <c r="S31" s="34" t="s">
        <v>36</v>
      </c>
      <c r="T31" s="33"/>
      <c r="U31" s="11"/>
      <c r="V31" s="18"/>
      <c r="W31" s="53" t="str">
        <f>+C8</f>
        <v>Verona</v>
      </c>
      <c r="X31" s="53" t="str">
        <f>+I8</f>
        <v>Atalanta</v>
      </c>
      <c r="Y31" s="53"/>
      <c r="Z31" s="53" t="str">
        <f>+Foglio2!AM41</f>
        <v/>
      </c>
      <c r="AA31" s="105" t="str">
        <f>+Foglio2!AN4</f>
        <v>--Over 1,5-Under2,5-</v>
      </c>
      <c r="AB31" s="105"/>
      <c r="AC31" s="105"/>
      <c r="AD31" s="105"/>
      <c r="AE31" s="105"/>
      <c r="AF31" s="105"/>
      <c r="AG31" s="105"/>
      <c r="AH31" s="105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x14ac:dyDescent="0.25">
      <c r="A32" s="11"/>
      <c r="B32" s="18"/>
      <c r="C32" s="35" t="s">
        <v>49</v>
      </c>
      <c r="D32" s="35" t="s">
        <v>129</v>
      </c>
      <c r="E32" s="35" t="s">
        <v>131</v>
      </c>
      <c r="F32" s="35" t="s">
        <v>139</v>
      </c>
      <c r="G32" s="36" t="s">
        <v>38</v>
      </c>
      <c r="H32" s="37" t="s">
        <v>0</v>
      </c>
      <c r="I32" s="43" t="s">
        <v>32</v>
      </c>
      <c r="J32" s="35" t="s">
        <v>129</v>
      </c>
      <c r="K32" s="35" t="s">
        <v>146</v>
      </c>
      <c r="L32" s="35" t="s">
        <v>130</v>
      </c>
      <c r="M32" s="36" t="s">
        <v>44</v>
      </c>
      <c r="N32" s="37" t="s">
        <v>2</v>
      </c>
      <c r="O32" s="33" t="s">
        <v>133</v>
      </c>
      <c r="P32" s="33" t="s">
        <v>129</v>
      </c>
      <c r="Q32" s="33" t="s">
        <v>131</v>
      </c>
      <c r="R32" s="33" t="s">
        <v>130</v>
      </c>
      <c r="S32" s="34" t="s">
        <v>134</v>
      </c>
      <c r="T32" s="33"/>
      <c r="U32" s="11"/>
      <c r="V32" s="18"/>
      <c r="W32" s="54" t="str">
        <f>+C15</f>
        <v>Fiorentina</v>
      </c>
      <c r="X32" s="54" t="str">
        <f>+I15</f>
        <v>Milan</v>
      </c>
      <c r="Y32" s="54"/>
      <c r="Z32" s="54" t="str">
        <f>+Foglio2!AM42</f>
        <v/>
      </c>
      <c r="AA32" s="108" t="str">
        <f>+Foglio2!AN10</f>
        <v>UNDER2,5---NG-</v>
      </c>
      <c r="AB32" s="108"/>
      <c r="AC32" s="108"/>
      <c r="AD32" s="108"/>
      <c r="AE32" s="108"/>
      <c r="AF32" s="108"/>
      <c r="AG32" s="108"/>
      <c r="AH32" s="108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x14ac:dyDescent="0.25">
      <c r="A33" s="11"/>
      <c r="B33" s="18"/>
      <c r="C33" s="35" t="s">
        <v>50</v>
      </c>
      <c r="D33" s="35" t="s">
        <v>129</v>
      </c>
      <c r="E33" s="35" t="s">
        <v>131</v>
      </c>
      <c r="F33" s="35" t="s">
        <v>140</v>
      </c>
      <c r="G33" s="36" t="s">
        <v>35</v>
      </c>
      <c r="H33" s="37" t="s">
        <v>1</v>
      </c>
      <c r="I33" s="43" t="s">
        <v>147</v>
      </c>
      <c r="J33" s="35" t="s">
        <v>129</v>
      </c>
      <c r="K33" s="35" t="s">
        <v>148</v>
      </c>
      <c r="L33" s="35" t="s">
        <v>130</v>
      </c>
      <c r="M33" s="36" t="s">
        <v>3</v>
      </c>
      <c r="N33" s="37" t="s">
        <v>0</v>
      </c>
      <c r="O33" s="33" t="s">
        <v>135</v>
      </c>
      <c r="P33" s="33" t="s">
        <v>129</v>
      </c>
      <c r="Q33" s="33" t="s">
        <v>130</v>
      </c>
      <c r="R33" s="33" t="s">
        <v>131</v>
      </c>
      <c r="S33" s="34" t="s">
        <v>110</v>
      </c>
      <c r="T33" s="33"/>
      <c r="U33" s="11"/>
      <c r="V33" s="18"/>
      <c r="W33" s="53" t="str">
        <f>+C22</f>
        <v>Roma</v>
      </c>
      <c r="X33" s="53" t="str">
        <f>+I22</f>
        <v>Napoli</v>
      </c>
      <c r="Y33" s="53"/>
      <c r="Z33" s="53" t="str">
        <f>+Foglio2!AM43</f>
        <v/>
      </c>
      <c r="AA33" s="105" t="str">
        <f>+Foglio2!AN16</f>
        <v>OVER2,5--Over 1,5--</v>
      </c>
      <c r="AB33" s="105"/>
      <c r="AC33" s="105"/>
      <c r="AD33" s="105"/>
      <c r="AE33" s="105"/>
      <c r="AF33" s="105"/>
      <c r="AG33" s="105"/>
      <c r="AH33" s="105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x14ac:dyDescent="0.25">
      <c r="A34" s="11"/>
      <c r="B34" s="18"/>
      <c r="C34" s="35" t="s">
        <v>109</v>
      </c>
      <c r="D34" s="35" t="s">
        <v>129</v>
      </c>
      <c r="E34" s="35" t="s">
        <v>131</v>
      </c>
      <c r="F34" s="35" t="s">
        <v>141</v>
      </c>
      <c r="G34" s="36" t="s">
        <v>5</v>
      </c>
      <c r="H34" s="37" t="s">
        <v>2</v>
      </c>
      <c r="I34" s="43" t="s">
        <v>109</v>
      </c>
      <c r="J34" s="35" t="s">
        <v>129</v>
      </c>
      <c r="K34" s="35" t="s">
        <v>149</v>
      </c>
      <c r="L34" s="35" t="s">
        <v>130</v>
      </c>
      <c r="M34" s="36" t="s">
        <v>4</v>
      </c>
      <c r="N34" s="37" t="s">
        <v>2</v>
      </c>
      <c r="O34" s="33" t="s">
        <v>136</v>
      </c>
      <c r="P34" s="33" t="s">
        <v>129</v>
      </c>
      <c r="Q34" s="33" t="s">
        <v>131</v>
      </c>
      <c r="R34" s="33" t="s">
        <v>130</v>
      </c>
      <c r="S34" s="34" t="s">
        <v>4</v>
      </c>
      <c r="T34" s="33"/>
      <c r="U34" s="11"/>
      <c r="V34" s="18"/>
      <c r="W34" s="54" t="str">
        <f>+C29</f>
        <v>Hoffenheim</v>
      </c>
      <c r="X34" s="54" t="str">
        <f>+I29</f>
        <v>Magonza</v>
      </c>
      <c r="Y34" s="54"/>
      <c r="Z34" s="55" t="str">
        <f>+Foglio2!AM44</f>
        <v/>
      </c>
      <c r="AA34" s="108" t="str">
        <f>+Foglio2!AN22</f>
        <v>OVER2,5--Over 1,5--X</v>
      </c>
      <c r="AB34" s="108"/>
      <c r="AC34" s="108"/>
      <c r="AD34" s="108"/>
      <c r="AE34" s="108"/>
      <c r="AF34" s="108"/>
      <c r="AG34" s="108"/>
      <c r="AH34" s="108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x14ac:dyDescent="0.25">
      <c r="A35" s="11"/>
      <c r="B35" s="18"/>
      <c r="C35" s="51"/>
      <c r="D35" s="51"/>
      <c r="E35" s="51"/>
      <c r="F35" s="51"/>
      <c r="G35" s="52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11"/>
      <c r="V35" s="18"/>
      <c r="W35" s="66" t="str">
        <f>+C36</f>
        <v>Hertha</v>
      </c>
      <c r="X35" s="66" t="str">
        <f>+I36</f>
        <v>Leverkusen</v>
      </c>
      <c r="Y35" s="66"/>
      <c r="Z35" s="53" t="str">
        <f>+Foglio2!AM45</f>
        <v/>
      </c>
      <c r="AA35" s="105" t="str">
        <f>+Foglio2!AN28</f>
        <v>OVER2,5--Over 1,5-Under2,5-</v>
      </c>
      <c r="AB35" s="105"/>
      <c r="AC35" s="105"/>
      <c r="AD35" s="105"/>
      <c r="AE35" s="105"/>
      <c r="AF35" s="105"/>
      <c r="AG35" s="105"/>
      <c r="AH35" s="105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5" customHeight="1" x14ac:dyDescent="0.25">
      <c r="A36" s="11"/>
      <c r="B36" s="18"/>
      <c r="C36" s="106" t="str">
        <f>+E37</f>
        <v>Hertha</v>
      </c>
      <c r="D36" s="106"/>
      <c r="E36" s="106"/>
      <c r="F36" s="106"/>
      <c r="G36" s="106"/>
      <c r="H36" s="106"/>
      <c r="I36" s="106" t="str">
        <f>+L37</f>
        <v>Leverkusen</v>
      </c>
      <c r="J36" s="106"/>
      <c r="K36" s="106"/>
      <c r="L36" s="106"/>
      <c r="M36" s="106"/>
      <c r="N36" s="106"/>
      <c r="O36" s="106" t="s">
        <v>37</v>
      </c>
      <c r="P36" s="106"/>
      <c r="Q36" s="106"/>
      <c r="R36" s="106"/>
      <c r="S36" s="106"/>
      <c r="T36" s="106"/>
      <c r="U36" s="11"/>
      <c r="V36" s="18"/>
      <c r="W36" s="107" t="s">
        <v>34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x14ac:dyDescent="0.25">
      <c r="A37" s="11"/>
      <c r="B37" s="18"/>
      <c r="C37" s="35" t="s">
        <v>67</v>
      </c>
      <c r="D37" s="35" t="s">
        <v>129</v>
      </c>
      <c r="E37" s="35" t="s">
        <v>151</v>
      </c>
      <c r="F37" s="35" t="s">
        <v>156</v>
      </c>
      <c r="G37" s="36" t="s">
        <v>7</v>
      </c>
      <c r="H37" s="37" t="s">
        <v>1</v>
      </c>
      <c r="I37" s="43" t="s">
        <v>67</v>
      </c>
      <c r="J37" s="35" t="s">
        <v>129</v>
      </c>
      <c r="K37" s="35" t="s">
        <v>145</v>
      </c>
      <c r="L37" s="35" t="s">
        <v>146</v>
      </c>
      <c r="M37" s="36" t="s">
        <v>36</v>
      </c>
      <c r="N37" s="37" t="s">
        <v>1</v>
      </c>
      <c r="O37" s="33" t="s">
        <v>150</v>
      </c>
      <c r="P37" s="33" t="s">
        <v>129</v>
      </c>
      <c r="Q37" s="33" t="s">
        <v>151</v>
      </c>
      <c r="R37" s="33" t="s">
        <v>146</v>
      </c>
      <c r="S37" s="34" t="s">
        <v>3</v>
      </c>
      <c r="T37" s="33"/>
      <c r="U37" s="11"/>
      <c r="V37" s="18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x14ac:dyDescent="0.25">
      <c r="A38" s="11"/>
      <c r="B38" s="18"/>
      <c r="C38" s="35" t="s">
        <v>51</v>
      </c>
      <c r="D38" s="35" t="s">
        <v>129</v>
      </c>
      <c r="E38" s="35" t="s">
        <v>151</v>
      </c>
      <c r="F38" s="35" t="s">
        <v>157</v>
      </c>
      <c r="G38" s="36" t="s">
        <v>52</v>
      </c>
      <c r="H38" s="37" t="s">
        <v>0</v>
      </c>
      <c r="I38" s="43" t="s">
        <v>51</v>
      </c>
      <c r="J38" s="35" t="s">
        <v>129</v>
      </c>
      <c r="K38" s="35" t="s">
        <v>156</v>
      </c>
      <c r="L38" s="35" t="s">
        <v>146</v>
      </c>
      <c r="M38" s="36" t="s">
        <v>4</v>
      </c>
      <c r="N38" s="37" t="s">
        <v>2</v>
      </c>
      <c r="O38" s="33" t="s">
        <v>135</v>
      </c>
      <c r="P38" s="33" t="s">
        <v>129</v>
      </c>
      <c r="Q38" s="33" t="s">
        <v>151</v>
      </c>
      <c r="R38" s="33" t="s">
        <v>146</v>
      </c>
      <c r="S38" s="34" t="s">
        <v>134</v>
      </c>
      <c r="T38" s="33"/>
      <c r="U38" s="11"/>
      <c r="V38" s="19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x14ac:dyDescent="0.25">
      <c r="A39" s="65"/>
      <c r="B39" s="18"/>
      <c r="C39" s="35" t="s">
        <v>114</v>
      </c>
      <c r="D39" s="35" t="s">
        <v>129</v>
      </c>
      <c r="E39" s="35" t="s">
        <v>151</v>
      </c>
      <c r="F39" s="35" t="s">
        <v>158</v>
      </c>
      <c r="G39" s="36" t="s">
        <v>36</v>
      </c>
      <c r="H39" s="37" t="s">
        <v>0</v>
      </c>
      <c r="I39" s="43" t="s">
        <v>31</v>
      </c>
      <c r="J39" s="35" t="s">
        <v>129</v>
      </c>
      <c r="K39" s="35" t="s">
        <v>157</v>
      </c>
      <c r="L39" s="35" t="s">
        <v>146</v>
      </c>
      <c r="M39" s="36" t="s">
        <v>30</v>
      </c>
      <c r="N39" s="37" t="s">
        <v>0</v>
      </c>
      <c r="O39" s="33" t="s">
        <v>152</v>
      </c>
      <c r="P39" s="33" t="s">
        <v>129</v>
      </c>
      <c r="Q39" s="33" t="s">
        <v>151</v>
      </c>
      <c r="R39" s="33" t="s">
        <v>146</v>
      </c>
      <c r="S39" s="34" t="s">
        <v>7</v>
      </c>
      <c r="T39" s="33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x14ac:dyDescent="0.25">
      <c r="A40" s="65"/>
      <c r="B40" s="18"/>
      <c r="C40" s="35" t="s">
        <v>105</v>
      </c>
      <c r="D40" s="35" t="s">
        <v>129</v>
      </c>
      <c r="E40" s="35" t="s">
        <v>151</v>
      </c>
      <c r="F40" s="35" t="s">
        <v>138</v>
      </c>
      <c r="G40" s="36" t="s">
        <v>54</v>
      </c>
      <c r="H40" s="37" t="s">
        <v>0</v>
      </c>
      <c r="I40" s="43" t="s">
        <v>160</v>
      </c>
      <c r="J40" s="35" t="s">
        <v>129</v>
      </c>
      <c r="K40" s="35" t="s">
        <v>161</v>
      </c>
      <c r="L40" s="35" t="s">
        <v>146</v>
      </c>
      <c r="M40" s="36" t="s">
        <v>30</v>
      </c>
      <c r="N40" s="37" t="s">
        <v>0</v>
      </c>
      <c r="O40" s="33" t="s">
        <v>153</v>
      </c>
      <c r="P40" s="33" t="s">
        <v>129</v>
      </c>
      <c r="Q40" s="33" t="s">
        <v>151</v>
      </c>
      <c r="R40" s="33" t="s">
        <v>146</v>
      </c>
      <c r="S40" s="34" t="s">
        <v>154</v>
      </c>
      <c r="T40" s="3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x14ac:dyDescent="0.25">
      <c r="A41" s="65"/>
      <c r="B41" s="18"/>
      <c r="C41" s="35" t="s">
        <v>159</v>
      </c>
      <c r="D41" s="35" t="s">
        <v>129</v>
      </c>
      <c r="E41" s="35" t="s">
        <v>151</v>
      </c>
      <c r="F41" s="35" t="s">
        <v>131</v>
      </c>
      <c r="G41" s="36" t="s">
        <v>52</v>
      </c>
      <c r="H41" s="37" t="s">
        <v>0</v>
      </c>
      <c r="I41" s="43" t="s">
        <v>162</v>
      </c>
      <c r="J41" s="35" t="s">
        <v>129</v>
      </c>
      <c r="K41" s="35" t="s">
        <v>139</v>
      </c>
      <c r="L41" s="35" t="s">
        <v>146</v>
      </c>
      <c r="M41" s="36" t="s">
        <v>7</v>
      </c>
      <c r="N41" s="37" t="s">
        <v>0</v>
      </c>
      <c r="O41" s="33" t="s">
        <v>155</v>
      </c>
      <c r="P41" s="33" t="s">
        <v>129</v>
      </c>
      <c r="Q41" s="33" t="s">
        <v>151</v>
      </c>
      <c r="R41" s="33" t="s">
        <v>146</v>
      </c>
      <c r="S41" s="34" t="s">
        <v>7</v>
      </c>
      <c r="T41" s="33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x14ac:dyDescent="0.25">
      <c r="A42" s="65"/>
      <c r="B42" s="19"/>
      <c r="C42" s="51"/>
      <c r="D42" s="51"/>
      <c r="E42" s="51"/>
      <c r="F42" s="51"/>
      <c r="G42" s="52"/>
      <c r="H42" s="51"/>
      <c r="I42" s="51"/>
      <c r="J42" s="51"/>
      <c r="K42" s="51"/>
      <c r="L42" s="51"/>
      <c r="M42" s="52"/>
      <c r="N42" s="51"/>
      <c r="O42" s="51"/>
      <c r="P42" s="51"/>
      <c r="Q42" s="51"/>
      <c r="R42" s="51"/>
      <c r="S42" s="51"/>
      <c r="T42" s="51"/>
      <c r="U42" s="11"/>
      <c r="V42" s="11"/>
      <c r="W42" s="13"/>
      <c r="X42" s="13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x14ac:dyDescent="0.25">
      <c r="A43" s="65"/>
      <c r="B43" s="11"/>
      <c r="C43" s="11"/>
      <c r="D43" s="11"/>
      <c r="E43" s="11"/>
      <c r="F43" s="11"/>
      <c r="G43" s="12"/>
      <c r="H43" s="11"/>
      <c r="I43" s="11"/>
      <c r="J43" s="11"/>
      <c r="K43" s="11"/>
      <c r="L43" s="11"/>
      <c r="M43" s="12"/>
      <c r="N43" s="11"/>
      <c r="O43" s="11"/>
      <c r="P43" s="11"/>
      <c r="Q43" s="11"/>
      <c r="R43" s="11"/>
      <c r="S43" s="11"/>
      <c r="T43" s="11"/>
      <c r="U43" s="11"/>
      <c r="V43" s="11"/>
      <c r="W43" s="13"/>
      <c r="X43" s="13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x14ac:dyDescent="0.25">
      <c r="W44" s="67"/>
      <c r="X44" s="67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</sheetData>
  <sheetProtection algorithmName="SHA-512" hashValue="KL+ifHmF0hqqiJiSgA8VoakQZvEyr/FnmFMhxvmnfLoEJkWY7cJ85ecb1VjZGdKE/HJ1efaOndnF4TiwvFhZaA==" saltValue="KY2oRcNlmrQapk+5Pv3QAw==" spinCount="100000" sheet="1" objects="1" scenarios="1"/>
  <mergeCells count="99">
    <mergeCell ref="O15:T15"/>
    <mergeCell ref="O22:T22"/>
    <mergeCell ref="O29:T29"/>
    <mergeCell ref="AH10:AJ10"/>
    <mergeCell ref="Y12:Z12"/>
    <mergeCell ref="Y13:Z13"/>
    <mergeCell ref="AB15:AC15"/>
    <mergeCell ref="AB16:AC16"/>
    <mergeCell ref="AE25:AF25"/>
    <mergeCell ref="Y14:Z14"/>
    <mergeCell ref="Y19:Z19"/>
    <mergeCell ref="Y24:Z24"/>
    <mergeCell ref="AE10:AG10"/>
    <mergeCell ref="AB17:AC17"/>
    <mergeCell ref="AB18:AC18"/>
    <mergeCell ref="AB20:AC20"/>
    <mergeCell ref="C2:AL5"/>
    <mergeCell ref="Y27:Z27"/>
    <mergeCell ref="Y28:Z28"/>
    <mergeCell ref="Y21:Z21"/>
    <mergeCell ref="Y22:Z22"/>
    <mergeCell ref="Y23:Z23"/>
    <mergeCell ref="Y25:Z25"/>
    <mergeCell ref="Y26:Z26"/>
    <mergeCell ref="Y15:Z15"/>
    <mergeCell ref="Y16:Z16"/>
    <mergeCell ref="Y17:Z17"/>
    <mergeCell ref="Y18:Z18"/>
    <mergeCell ref="Y20:Z20"/>
    <mergeCell ref="Y9:Z9"/>
    <mergeCell ref="Y10:Z10"/>
    <mergeCell ref="Y11:Z11"/>
    <mergeCell ref="C29:H29"/>
    <mergeCell ref="I29:N29"/>
    <mergeCell ref="I8:N8"/>
    <mergeCell ref="C8:H8"/>
    <mergeCell ref="C15:H15"/>
    <mergeCell ref="I15:N15"/>
    <mergeCell ref="C22:H22"/>
    <mergeCell ref="I22:N22"/>
    <mergeCell ref="AE13:AF13"/>
    <mergeCell ref="AE15:AF15"/>
    <mergeCell ref="AE21:AF21"/>
    <mergeCell ref="AB14:AC14"/>
    <mergeCell ref="AE23:AF23"/>
    <mergeCell ref="AE17:AF17"/>
    <mergeCell ref="AE19:AF19"/>
    <mergeCell ref="AB19:AC19"/>
    <mergeCell ref="AI23:AJ23"/>
    <mergeCell ref="AI25:AJ25"/>
    <mergeCell ref="AI27:AJ27"/>
    <mergeCell ref="AG13:AH13"/>
    <mergeCell ref="AG15:AH15"/>
    <mergeCell ref="AG17:AH17"/>
    <mergeCell ref="AG19:AH19"/>
    <mergeCell ref="AI13:AJ13"/>
    <mergeCell ref="AI15:AJ15"/>
    <mergeCell ref="AI17:AJ17"/>
    <mergeCell ref="AI19:AJ19"/>
    <mergeCell ref="AI21:AJ21"/>
    <mergeCell ref="AG21:AH21"/>
    <mergeCell ref="AG25:AH25"/>
    <mergeCell ref="AG27:AH27"/>
    <mergeCell ref="AG23:AH23"/>
    <mergeCell ref="AB28:AC28"/>
    <mergeCell ref="AA9:AA28"/>
    <mergeCell ref="AD9:AD28"/>
    <mergeCell ref="AB26:AC26"/>
    <mergeCell ref="AB24:AC24"/>
    <mergeCell ref="AB9:AC9"/>
    <mergeCell ref="AB10:AC10"/>
    <mergeCell ref="AB11:AC11"/>
    <mergeCell ref="AB12:AC12"/>
    <mergeCell ref="AB13:AC13"/>
    <mergeCell ref="AB21:AC21"/>
    <mergeCell ref="AB22:AC22"/>
    <mergeCell ref="AB23:AC23"/>
    <mergeCell ref="AB25:AC25"/>
    <mergeCell ref="O8:T8"/>
    <mergeCell ref="AA31:AH31"/>
    <mergeCell ref="AA32:AH32"/>
    <mergeCell ref="AA33:AH33"/>
    <mergeCell ref="AA34:AH34"/>
    <mergeCell ref="AE27:AF27"/>
    <mergeCell ref="AE28:AL28"/>
    <mergeCell ref="Y8:Z8"/>
    <mergeCell ref="AB8:AC8"/>
    <mergeCell ref="AE8:AG8"/>
    <mergeCell ref="AH8:AJ8"/>
    <mergeCell ref="AH11:AJ11"/>
    <mergeCell ref="AH9:AJ9"/>
    <mergeCell ref="AE9:AG9"/>
    <mergeCell ref="AE11:AG11"/>
    <mergeCell ref="AB27:AC27"/>
    <mergeCell ref="AA35:AH35"/>
    <mergeCell ref="O36:T36"/>
    <mergeCell ref="I36:N36"/>
    <mergeCell ref="C36:H36"/>
    <mergeCell ref="W36:AH37"/>
  </mergeCells>
  <conditionalFormatting sqref="Z31:Z34">
    <cfRule type="cellIs" dxfId="8" priority="10" operator="equal">
      <formula>"NO BET"</formula>
    </cfRule>
  </conditionalFormatting>
  <conditionalFormatting sqref="AI15:AJ15">
    <cfRule type="cellIs" dxfId="7" priority="9" operator="lessThan">
      <formula>$AE$15+$AE$19+$AE$23+$AE$27</formula>
    </cfRule>
  </conditionalFormatting>
  <conditionalFormatting sqref="AI19:AJ19">
    <cfRule type="cellIs" dxfId="6" priority="8" operator="lessThan">
      <formula>$AE$15+$AE$19+$AE$23+$AE$27</formula>
    </cfRule>
  </conditionalFormatting>
  <conditionalFormatting sqref="AI23:AJ23">
    <cfRule type="cellIs" dxfId="5" priority="7" operator="lessThan">
      <formula>$AE$15+$AE$19+$AE$23+$AE$27</formula>
    </cfRule>
  </conditionalFormatting>
  <conditionalFormatting sqref="AI27:AJ27">
    <cfRule type="cellIs" dxfId="4" priority="6" operator="lessThan">
      <formula>$AE$15+$AE$19+$AE$23+$AE$27</formula>
    </cfRule>
  </conditionalFormatting>
  <conditionalFormatting sqref="Z35">
    <cfRule type="cellIs" dxfId="3" priority="4" operator="equal">
      <formula>"NO BET"</formula>
    </cfRule>
  </conditionalFormatting>
  <conditionalFormatting sqref="AK15:AK16 AK18:AK20 AK22:AK24 AK26:AK27">
    <cfRule type="cellIs" dxfId="2" priority="3" operator="equal">
      <formula>"P"</formula>
    </cfRule>
    <cfRule type="cellIs" dxfId="1" priority="2" operator="equal">
      <formula>"V"</formula>
    </cfRule>
  </conditionalFormatting>
  <conditionalFormatting sqref="AK15 AK19 AK23 AK27">
    <cfRule type="cellIs" dxfId="0" priority="1" operator="equal">
      <formula>" "</formula>
    </cfRule>
  </conditionalFormatting>
  <dataValidations count="1">
    <dataValidation type="list" allowBlank="1" showInputMessage="1" showErrorMessage="1" sqref="AK15 AK27 AK23 AK19" xr:uid="{4FCC251B-D262-4387-ABDD-A138315FB907}">
      <formula1>$AN$6:$AN$8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A6D9A-1959-4240-8941-35C1CDDA20E2}">
  <sheetPr codeName="Foglio2"/>
  <dimension ref="A1:AO52"/>
  <sheetViews>
    <sheetView topLeftCell="J1" workbookViewId="0">
      <selection activeCell="AB1" sqref="AB1:AC1"/>
    </sheetView>
  </sheetViews>
  <sheetFormatPr defaultRowHeight="15" x14ac:dyDescent="0.25"/>
  <cols>
    <col min="1" max="1" width="8.140625" bestFit="1" customWidth="1"/>
    <col min="2" max="2" width="4.7109375" bestFit="1" customWidth="1"/>
    <col min="3" max="3" width="16.85546875" bestFit="1" customWidth="1"/>
    <col min="4" max="4" width="18" bestFit="1" customWidth="1"/>
    <col min="5" max="5" width="7.140625" bestFit="1" customWidth="1"/>
    <col min="6" max="6" width="5.5703125" bestFit="1" customWidth="1"/>
    <col min="7" max="7" width="8.140625" bestFit="1" customWidth="1"/>
    <col min="8" max="8" width="4.7109375" bestFit="1" customWidth="1"/>
    <col min="9" max="9" width="15.28515625" bestFit="1" customWidth="1"/>
    <col min="10" max="10" width="19.42578125" bestFit="1" customWidth="1"/>
    <col min="11" max="11" width="4.42578125" bestFit="1" customWidth="1"/>
    <col min="12" max="12" width="2.42578125" bestFit="1" customWidth="1"/>
    <col min="13" max="13" width="8.140625" bestFit="1" customWidth="1"/>
    <col min="14" max="14" width="3.42578125" bestFit="1" customWidth="1"/>
    <col min="15" max="15" width="19.42578125" bestFit="1" customWidth="1"/>
    <col min="16" max="16" width="7.42578125" bestFit="1" customWidth="1"/>
    <col min="17" max="17" width="4.42578125" bestFit="1" customWidth="1"/>
    <col min="18" max="18" width="2" bestFit="1" customWidth="1"/>
    <col min="19" max="19" width="12.140625" bestFit="1" customWidth="1"/>
    <col min="20" max="23" width="2" bestFit="1" customWidth="1"/>
    <col min="24" max="24" width="4.42578125" bestFit="1" customWidth="1"/>
    <col min="25" max="26" width="2" bestFit="1" customWidth="1"/>
    <col min="27" max="27" width="11.7109375" style="48" bestFit="1" customWidth="1"/>
    <col min="28" max="29" width="11.7109375" style="97" customWidth="1"/>
    <col min="31" max="31" width="13.5703125" style="1" bestFit="1" customWidth="1"/>
    <col min="32" max="32" width="10.140625" bestFit="1" customWidth="1"/>
    <col min="33" max="33" width="10.140625" customWidth="1"/>
    <col min="40" max="40" width="22.85546875" bestFit="1" customWidth="1"/>
  </cols>
  <sheetData>
    <row r="1" spans="1:40" x14ac:dyDescent="0.25">
      <c r="S1" t="s">
        <v>45</v>
      </c>
      <c r="AA1" s="48" t="s">
        <v>46</v>
      </c>
      <c r="AB1" s="135" t="s">
        <v>77</v>
      </c>
      <c r="AC1" s="135"/>
    </row>
    <row r="2" spans="1:40" ht="15.75" thickBot="1" x14ac:dyDescent="0.3">
      <c r="A2" s="135" t="str">
        <f>+C3</f>
        <v>Verona</v>
      </c>
      <c r="B2" s="135"/>
      <c r="C2" s="135"/>
      <c r="D2" s="135"/>
      <c r="E2" s="135"/>
      <c r="F2" s="135"/>
      <c r="G2" s="135" t="str">
        <f>+J3</f>
        <v>Atalanta</v>
      </c>
      <c r="H2" s="135"/>
      <c r="I2" s="135"/>
      <c r="J2" s="135"/>
      <c r="K2" s="135"/>
      <c r="L2" s="135"/>
      <c r="M2" s="97"/>
      <c r="N2" s="97"/>
      <c r="O2" s="97"/>
      <c r="P2" s="97"/>
      <c r="Q2" s="97"/>
      <c r="R2" s="97"/>
      <c r="AE2" s="1" t="s">
        <v>10</v>
      </c>
    </row>
    <row r="3" spans="1:40" x14ac:dyDescent="0.25">
      <c r="A3" t="str">
        <f>+'System X4'!C9</f>
        <v>07.03.21</v>
      </c>
      <c r="B3" t="str">
        <f>+'System X4'!D9</f>
        <v>SA</v>
      </c>
      <c r="C3" t="str">
        <f>+'System X4'!E9</f>
        <v>Verona</v>
      </c>
      <c r="D3" t="str">
        <f>+'System X4'!F9</f>
        <v>Milan</v>
      </c>
      <c r="E3" t="str">
        <f>+'System X4'!G9</f>
        <v>0 : 2</v>
      </c>
      <c r="F3" t="str">
        <f>+'System X4'!H9</f>
        <v>P</v>
      </c>
      <c r="G3" t="str">
        <f>+'System X4'!I9</f>
        <v>08.03.21</v>
      </c>
      <c r="H3" t="str">
        <f>+'System X4'!J9</f>
        <v>SA</v>
      </c>
      <c r="I3" t="str">
        <f>+'System X4'!K9</f>
        <v>Inter</v>
      </c>
      <c r="J3" t="str">
        <f>+'System X4'!L9</f>
        <v>Atalanta</v>
      </c>
      <c r="K3" t="str">
        <f>+'System X4'!M9</f>
        <v>1 : 0</v>
      </c>
      <c r="L3" t="str">
        <f>+'System X4'!N9</f>
        <v>P</v>
      </c>
      <c r="M3" t="str">
        <f>+'System X4'!O9</f>
        <v>18.07.20</v>
      </c>
      <c r="N3" t="str">
        <f>+'System X4'!P9</f>
        <v>SA</v>
      </c>
      <c r="O3" t="str">
        <f>+'System X4'!Q9</f>
        <v>Verona</v>
      </c>
      <c r="P3" t="str">
        <f>+'System X4'!R9</f>
        <v>Atalanta</v>
      </c>
      <c r="Q3" t="str">
        <f>+'System X4'!S9</f>
        <v>1 : 1</v>
      </c>
      <c r="R3" t="str">
        <f>IF(Y3=Z3,"N",IF(Y3&lt;Z3,"P","V"))</f>
        <v>N</v>
      </c>
      <c r="S3" s="102">
        <f>IF(F3="V",T3*1.4,IF(F3="P",T3*0.6,T3))</f>
        <v>0</v>
      </c>
      <c r="T3">
        <f>IF(E3=0,"",VALUE(LEFT(E3,FIND(":",E3,1)-1)))</f>
        <v>0</v>
      </c>
      <c r="U3">
        <f>IF(E3=0,"",VALUE(RIGHT(E3,FIND(":",E3,1)-1)))</f>
        <v>2</v>
      </c>
      <c r="V3">
        <f>IF(K3=0,"",VALUE(LEFT(K3,FIND(":",K3,1)-1)))</f>
        <v>1</v>
      </c>
      <c r="W3">
        <f>IF(K3=0,"",VALUE(RIGHT(K3,FIND(":",K3,1)-1)))</f>
        <v>0</v>
      </c>
      <c r="X3" s="45" t="str">
        <f>+Q3</f>
        <v>1 : 1</v>
      </c>
      <c r="Y3">
        <f>IF(X3=0,"",VALUE(LEFT(X3,FIND(":",X3,1)-1)))</f>
        <v>1</v>
      </c>
      <c r="Z3">
        <f>IF(X3=0,"",VALUE(RIGHT(X3,FIND(":",X3,1)-1)))</f>
        <v>1</v>
      </c>
      <c r="AA3" s="102">
        <f>IF(L3="V",W3*1.4,IF(L3="P",W3*0.6,W3))</f>
        <v>0</v>
      </c>
      <c r="AB3" s="103">
        <f>IF(R3="V",Y3*1.4,IF(R3="P",Y3*0.6,Y3))</f>
        <v>1</v>
      </c>
      <c r="AC3" s="103">
        <f>IF(R3="P",Z3*1.4,IF(R3="V",Z3*0.6,Z3))</f>
        <v>1</v>
      </c>
      <c r="AD3" s="88"/>
      <c r="AE3" s="87">
        <f>+AG3*3+AF3</f>
        <v>65</v>
      </c>
      <c r="AF3" s="76">
        <f>+SUM(T3:W7)</f>
        <v>23</v>
      </c>
      <c r="AG3" s="76">
        <f>+SUM(Y3:Z7)</f>
        <v>14</v>
      </c>
      <c r="AH3" s="76"/>
      <c r="AI3" s="76"/>
      <c r="AJ3" s="76"/>
      <c r="AK3" s="76"/>
      <c r="AL3" s="76"/>
      <c r="AM3" s="76"/>
      <c r="AN3" s="77"/>
    </row>
    <row r="4" spans="1:40" x14ac:dyDescent="0.25">
      <c r="A4" t="str">
        <f>+'System X4'!C10</f>
        <v>27.02.21</v>
      </c>
      <c r="B4" t="str">
        <f>+'System X4'!D10</f>
        <v>SA</v>
      </c>
      <c r="C4" t="str">
        <f>+'System X4'!E10</f>
        <v>Verona</v>
      </c>
      <c r="D4" t="str">
        <f>+'System X4'!F10</f>
        <v>Juventus</v>
      </c>
      <c r="E4" t="str">
        <f>+'System X4'!G10</f>
        <v>1 : 1</v>
      </c>
      <c r="F4" t="str">
        <f>+'System X4'!H10</f>
        <v>N</v>
      </c>
      <c r="G4" t="str">
        <f>+'System X4'!I10</f>
        <v>28.02.21</v>
      </c>
      <c r="H4" t="str">
        <f>+'System X4'!J10</f>
        <v>SA</v>
      </c>
      <c r="I4" t="str">
        <f>+'System X4'!K10</f>
        <v>Sampdoria</v>
      </c>
      <c r="J4" t="str">
        <f>+'System X4'!L10</f>
        <v>Atalanta</v>
      </c>
      <c r="K4" t="str">
        <f>+'System X4'!M10</f>
        <v>0 : 2</v>
      </c>
      <c r="L4" t="str">
        <f>+'System X4'!N10</f>
        <v>V</v>
      </c>
      <c r="M4" t="str">
        <f>+'System X4'!O10</f>
        <v>18.03.18</v>
      </c>
      <c r="N4" t="str">
        <f>+'System X4'!P10</f>
        <v>SA</v>
      </c>
      <c r="O4" t="str">
        <f>+'System X4'!Q10</f>
        <v>Verona</v>
      </c>
      <c r="P4" t="str">
        <f>+'System X4'!R10</f>
        <v>Atalanta</v>
      </c>
      <c r="Q4" t="str">
        <f>+'System X4'!S10</f>
        <v>0 : 5</v>
      </c>
      <c r="R4" t="str">
        <f t="shared" ref="R4:R31" si="0">IF(Y4=Z4,"N",IF(Y4&lt;Z4,"P","V"))</f>
        <v>P</v>
      </c>
      <c r="S4" s="102">
        <f t="shared" ref="S4:S31" si="1">IF(F4="V",T4*1.4,IF(F4="P",T4*0.6,T4))</f>
        <v>1</v>
      </c>
      <c r="T4">
        <f t="shared" ref="T4:T7" si="2">IF(E4=0,"",VALUE(LEFT(E4,FIND(":",E4,1)-1)))</f>
        <v>1</v>
      </c>
      <c r="U4">
        <f t="shared" ref="U4:U7" si="3">IF(E4=0,"",VALUE(RIGHT(E4,FIND(":",E4,1)-1)))</f>
        <v>1</v>
      </c>
      <c r="V4">
        <f t="shared" ref="V4:V7" si="4">IF(K4=0,"",VALUE(LEFT(K4,FIND(":",K4,1)-1)))</f>
        <v>0</v>
      </c>
      <c r="W4">
        <f t="shared" ref="W4:W7" si="5">IF(K4=0,"",VALUE(RIGHT(K4,FIND(":",K4,1)-1)))</f>
        <v>2</v>
      </c>
      <c r="X4" s="45" t="str">
        <f t="shared" ref="X4:X31" si="6">+Q4</f>
        <v>0 : 5</v>
      </c>
      <c r="Y4">
        <f t="shared" ref="Y4:Y19" si="7">IF(X4=0,"",VALUE(LEFT(X4,FIND(":",X4,1)-1)))</f>
        <v>0</v>
      </c>
      <c r="Z4">
        <f t="shared" ref="Z4:Z7" si="8">IF(X4=0,"",VALUE(RIGHT(X4,FIND(":",X4,1)-1)))</f>
        <v>5</v>
      </c>
      <c r="AA4" s="102">
        <f t="shared" ref="AA4:AA31" si="9">IF(L4="V",W4*1.4,IF(L4="P",W4*0.6,W4))</f>
        <v>2.8</v>
      </c>
      <c r="AB4" s="103">
        <f t="shared" ref="AB4:AB7" si="10">IF(R4="V",Y4*1.4,IF(R4="P",Y4*0.6,Y4))</f>
        <v>0</v>
      </c>
      <c r="AC4" s="103">
        <f t="shared" ref="AC4:AC7" si="11">IF(R4="P",Z4*1.4,IF(R4="V",Z4*0.6,Z4))</f>
        <v>7</v>
      </c>
      <c r="AD4" s="91"/>
      <c r="AE4" s="79" t="str">
        <f>IF(AE3&gt;75,"OVER2,5",IF(AE3&lt;60,"UNDER2,5",""))</f>
        <v/>
      </c>
      <c r="AF4" s="78"/>
      <c r="AG4" s="78"/>
      <c r="AH4" s="79" t="str">
        <f>IF(AH8&gt;1,"X2",IF(AND(AK8&gt;1,AH8&lt;-0.5),"1",""))</f>
        <v/>
      </c>
      <c r="AI4" s="79" t="str">
        <f>IF(AE3&lt;65,"",IF(AI8&gt;1.5,"Over 1,5",""))</f>
        <v>Over 1,5</v>
      </c>
      <c r="AJ4" s="79" t="str">
        <f>IF(AND(AJ8&lt;1,AJ8&gt;-3),"Under2,5",IF(AND(AJ8&lt;-3,AJ8&gt;-7),"NG",IF(AND(AK8&gt;1,AJ8&gt;5),"GG","")))</f>
        <v>Under2,5</v>
      </c>
      <c r="AK4" s="79" t="str">
        <f>IF((AE8+AF8)&gt;3,"X",IF(AK8&gt;5,"1",""))</f>
        <v/>
      </c>
      <c r="AL4" s="79"/>
      <c r="AM4" s="80"/>
      <c r="AN4" s="81" t="str">
        <f>+AE4&amp;"-"&amp;+AH4&amp;"-"&amp;+AI4&amp;"-"&amp;+AJ4&amp;"-"&amp;+AK4</f>
        <v>--Over 1,5-Under2,5-</v>
      </c>
    </row>
    <row r="5" spans="1:40" x14ac:dyDescent="0.25">
      <c r="A5" t="str">
        <f>+'System X4'!C11</f>
        <v>15.02.21</v>
      </c>
      <c r="B5" t="str">
        <f>+'System X4'!D11</f>
        <v>SA</v>
      </c>
      <c r="C5" t="str">
        <f>+'System X4'!E11</f>
        <v>Verona</v>
      </c>
      <c r="D5" t="str">
        <f>+'System X4'!F11</f>
        <v>Parma</v>
      </c>
      <c r="E5" t="str">
        <f>+'System X4'!G11</f>
        <v>2 : 1</v>
      </c>
      <c r="F5" t="str">
        <f>+'System X4'!H11</f>
        <v>V</v>
      </c>
      <c r="G5" t="str">
        <f>+'System X4'!I11</f>
        <v>14.02.21</v>
      </c>
      <c r="H5" t="str">
        <f>+'System X4'!J11</f>
        <v>SA</v>
      </c>
      <c r="I5" t="str">
        <f>+'System X4'!K11</f>
        <v>Cagliari</v>
      </c>
      <c r="J5" t="str">
        <f>+'System X4'!L11</f>
        <v>Atalanta</v>
      </c>
      <c r="K5" t="str">
        <f>+'System X4'!M11</f>
        <v>0 : 1</v>
      </c>
      <c r="L5" t="str">
        <f>+'System X4'!N11</f>
        <v>V</v>
      </c>
      <c r="M5" t="str">
        <f>+'System X4'!O11</f>
        <v>03.02.16</v>
      </c>
      <c r="N5" t="str">
        <f>+'System X4'!P11</f>
        <v>SA</v>
      </c>
      <c r="O5" t="str">
        <f>+'System X4'!Q11</f>
        <v>Verona</v>
      </c>
      <c r="P5" t="str">
        <f>+'System X4'!R11</f>
        <v>Atalanta</v>
      </c>
      <c r="Q5" t="str">
        <f>+'System X4'!S11</f>
        <v>2 : 1</v>
      </c>
      <c r="R5" t="str">
        <f t="shared" si="0"/>
        <v>V</v>
      </c>
      <c r="S5" s="102">
        <f t="shared" si="1"/>
        <v>2.8</v>
      </c>
      <c r="T5">
        <f t="shared" si="2"/>
        <v>2</v>
      </c>
      <c r="U5">
        <f t="shared" si="3"/>
        <v>1</v>
      </c>
      <c r="V5">
        <f t="shared" si="4"/>
        <v>0</v>
      </c>
      <c r="W5">
        <f t="shared" si="5"/>
        <v>1</v>
      </c>
      <c r="X5" s="45" t="str">
        <f t="shared" si="6"/>
        <v>2 : 1</v>
      </c>
      <c r="Y5">
        <f t="shared" si="7"/>
        <v>2</v>
      </c>
      <c r="Z5">
        <f t="shared" si="8"/>
        <v>1</v>
      </c>
      <c r="AA5" s="102">
        <f t="shared" si="9"/>
        <v>1.4</v>
      </c>
      <c r="AB5" s="103">
        <f t="shared" si="10"/>
        <v>2.8</v>
      </c>
      <c r="AC5" s="103">
        <f t="shared" si="11"/>
        <v>0.6</v>
      </c>
      <c r="AD5" s="89"/>
      <c r="AE5" s="82" t="s">
        <v>11</v>
      </c>
      <c r="AF5" s="82" t="s">
        <v>12</v>
      </c>
      <c r="AG5" s="82"/>
      <c r="AH5" s="82" t="s">
        <v>13</v>
      </c>
      <c r="AI5" s="82" t="s">
        <v>14</v>
      </c>
      <c r="AJ5" s="82" t="s">
        <v>17</v>
      </c>
      <c r="AK5" s="82"/>
      <c r="AL5" s="82"/>
      <c r="AM5" s="80"/>
      <c r="AN5" s="81"/>
    </row>
    <row r="6" spans="1:40" x14ac:dyDescent="0.25">
      <c r="A6" t="str">
        <f>+'System X4'!C12</f>
        <v>24.01.21</v>
      </c>
      <c r="B6" t="str">
        <f>+'System X4'!D12</f>
        <v>SA</v>
      </c>
      <c r="C6" t="str">
        <f>+'System X4'!E12</f>
        <v>Verona</v>
      </c>
      <c r="D6" t="str">
        <f>+'System X4'!F12</f>
        <v>Napoli</v>
      </c>
      <c r="E6" t="str">
        <f>+'System X4'!G12</f>
        <v>3 : 1</v>
      </c>
      <c r="F6" t="str">
        <f>+'System X4'!H12</f>
        <v>V</v>
      </c>
      <c r="G6" t="str">
        <f>+'System X4'!I12</f>
        <v>23.01.21</v>
      </c>
      <c r="H6" t="str">
        <f>+'System X4'!J12</f>
        <v>SA</v>
      </c>
      <c r="I6" t="str">
        <f>+'System X4'!K12</f>
        <v>Milan</v>
      </c>
      <c r="J6" t="str">
        <f>+'System X4'!L12</f>
        <v>Atalanta</v>
      </c>
      <c r="K6" t="str">
        <f>+'System X4'!M12</f>
        <v>0 : 3</v>
      </c>
      <c r="L6" t="str">
        <f>+'System X4'!N12</f>
        <v>V</v>
      </c>
      <c r="M6" t="str">
        <f>+'System X4'!O12</f>
        <v>25.01.15</v>
      </c>
      <c r="N6" t="str">
        <f>+'System X4'!P12</f>
        <v>SA</v>
      </c>
      <c r="O6" t="str">
        <f>+'System X4'!Q12</f>
        <v>Verona</v>
      </c>
      <c r="P6" t="str">
        <f>+'System X4'!R12</f>
        <v>Atalanta</v>
      </c>
      <c r="Q6" t="str">
        <f>+'System X4'!S12</f>
        <v>1 : 0</v>
      </c>
      <c r="R6" t="str">
        <f t="shared" si="0"/>
        <v>V</v>
      </c>
      <c r="S6" s="102">
        <f t="shared" si="1"/>
        <v>4.1999999999999993</v>
      </c>
      <c r="T6">
        <f t="shared" si="2"/>
        <v>3</v>
      </c>
      <c r="U6">
        <f t="shared" si="3"/>
        <v>1</v>
      </c>
      <c r="V6">
        <f t="shared" si="4"/>
        <v>0</v>
      </c>
      <c r="W6">
        <f t="shared" si="5"/>
        <v>3</v>
      </c>
      <c r="X6" s="45" t="str">
        <f t="shared" si="6"/>
        <v>1 : 0</v>
      </c>
      <c r="Y6">
        <f t="shared" si="7"/>
        <v>1</v>
      </c>
      <c r="Z6">
        <f t="shared" si="8"/>
        <v>0</v>
      </c>
      <c r="AA6" s="102">
        <f t="shared" si="9"/>
        <v>4.1999999999999993</v>
      </c>
      <c r="AB6" s="103">
        <f t="shared" si="10"/>
        <v>1.4</v>
      </c>
      <c r="AC6" s="103">
        <f t="shared" si="11"/>
        <v>0</v>
      </c>
      <c r="AD6" s="89" t="s">
        <v>1</v>
      </c>
      <c r="AE6" s="82">
        <f>COUNTIF(F3:F7,"V")</f>
        <v>3</v>
      </c>
      <c r="AF6" s="82">
        <f>COUNTIF(L3:L7,"V")</f>
        <v>3</v>
      </c>
      <c r="AG6" s="82" t="s">
        <v>15</v>
      </c>
      <c r="AH6" s="82">
        <f>+SUM(T3:T7)+SUM(Y3:Y7)</f>
        <v>14</v>
      </c>
      <c r="AI6" s="82">
        <f>+SUM(V3:V7)+SUM(Z3:Z7)</f>
        <v>10</v>
      </c>
      <c r="AJ6" s="82">
        <f>+AE6*3+AE8*1</f>
        <v>10</v>
      </c>
      <c r="AK6" s="82">
        <f>+SUM(S3:S7)+(SUM(AB3:AB7)*3)</f>
        <v>34.799999999999997</v>
      </c>
      <c r="AL6" s="82">
        <f>+AE6-AF6*2-AE7+AF7</f>
        <v>-3</v>
      </c>
      <c r="AM6" s="80"/>
      <c r="AN6" s="81" t="str">
        <f>+A2</f>
        <v>Verona</v>
      </c>
    </row>
    <row r="7" spans="1:40" x14ac:dyDescent="0.25">
      <c r="A7" t="str">
        <f>+'System X4'!C13</f>
        <v>10.01.21</v>
      </c>
      <c r="B7" t="str">
        <f>+'System X4'!D13</f>
        <v>SA</v>
      </c>
      <c r="C7" t="str">
        <f>+'System X4'!E13</f>
        <v>Verona</v>
      </c>
      <c r="D7" t="str">
        <f>+'System X4'!F13</f>
        <v>Crotone</v>
      </c>
      <c r="E7" t="str">
        <f>+'System X4'!G13</f>
        <v>2 : 1</v>
      </c>
      <c r="F7" t="str">
        <f>+'System X4'!H13</f>
        <v>V</v>
      </c>
      <c r="G7" t="str">
        <f>+'System X4'!I13</f>
        <v>20.01.21</v>
      </c>
      <c r="H7" t="str">
        <f>+'System X4'!J13</f>
        <v>SA</v>
      </c>
      <c r="I7" t="str">
        <f>+'System X4'!K13</f>
        <v>Udinese</v>
      </c>
      <c r="J7" t="str">
        <f>+'System X4'!L13</f>
        <v>Atalanta</v>
      </c>
      <c r="K7" t="str">
        <f>+'System X4'!M13</f>
        <v>1 : 1</v>
      </c>
      <c r="L7" t="str">
        <f>+'System X4'!N13</f>
        <v>N</v>
      </c>
      <c r="M7" t="str">
        <f>+'System X4'!O13</f>
        <v>08.12.13</v>
      </c>
      <c r="N7" t="str">
        <f>+'System X4'!P13</f>
        <v>SA</v>
      </c>
      <c r="O7" t="str">
        <f>+'System X4'!Q13</f>
        <v>Verona</v>
      </c>
      <c r="P7" t="str">
        <f>+'System X4'!R13</f>
        <v>Atalanta</v>
      </c>
      <c r="Q7" t="str">
        <f>+'System X4'!S13</f>
        <v>2 : 1</v>
      </c>
      <c r="R7" t="str">
        <f t="shared" si="0"/>
        <v>V</v>
      </c>
      <c r="S7" s="102">
        <f t="shared" si="1"/>
        <v>2.8</v>
      </c>
      <c r="T7">
        <f t="shared" si="2"/>
        <v>2</v>
      </c>
      <c r="U7">
        <f t="shared" si="3"/>
        <v>1</v>
      </c>
      <c r="V7">
        <f t="shared" si="4"/>
        <v>1</v>
      </c>
      <c r="W7">
        <f t="shared" si="5"/>
        <v>1</v>
      </c>
      <c r="X7" s="45" t="str">
        <f t="shared" si="6"/>
        <v>2 : 1</v>
      </c>
      <c r="Y7">
        <f t="shared" si="7"/>
        <v>2</v>
      </c>
      <c r="Z7">
        <f t="shared" si="8"/>
        <v>1</v>
      </c>
      <c r="AA7" s="102">
        <f t="shared" si="9"/>
        <v>1</v>
      </c>
      <c r="AB7" s="103">
        <f t="shared" si="10"/>
        <v>2.8</v>
      </c>
      <c r="AC7" s="103">
        <f t="shared" si="11"/>
        <v>0.6</v>
      </c>
      <c r="AD7" s="89" t="s">
        <v>0</v>
      </c>
      <c r="AE7" s="82">
        <f>COUNTIF(F3:F7,"P")</f>
        <v>1</v>
      </c>
      <c r="AF7" s="82">
        <f>COUNTIF(L3:L7,"P")</f>
        <v>1</v>
      </c>
      <c r="AG7" s="82" t="s">
        <v>16</v>
      </c>
      <c r="AH7" s="82">
        <f>+SUM(U3:U7)+SUM(Z3:Z7)</f>
        <v>14</v>
      </c>
      <c r="AI7" s="82">
        <f>+SUM(W3:W7)+SUM(Y3:Y7)</f>
        <v>13</v>
      </c>
      <c r="AJ7" s="82">
        <f>+AF6*3+AF8*1</f>
        <v>10</v>
      </c>
      <c r="AK7" s="82">
        <f>+SUM(AA3:AA7)+(SUM(AC3:AC7)*3)</f>
        <v>37</v>
      </c>
      <c r="AL7" s="82">
        <f>+AH6+AI7-AH7-AI6</f>
        <v>3</v>
      </c>
      <c r="AM7" s="80"/>
      <c r="AN7" s="81" t="str">
        <f>+G2</f>
        <v>Atalanta</v>
      </c>
    </row>
    <row r="8" spans="1:40" ht="15.75" thickBot="1" x14ac:dyDescent="0.3">
      <c r="A8" s="136" t="str">
        <f>+C9</f>
        <v>Fiorentina</v>
      </c>
      <c r="B8" s="136"/>
      <c r="C8" s="136"/>
      <c r="D8" s="136"/>
      <c r="E8" s="136"/>
      <c r="F8" s="136"/>
      <c r="G8" s="136" t="str">
        <f>+J9</f>
        <v>Milan</v>
      </c>
      <c r="H8" s="136"/>
      <c r="I8" s="136"/>
      <c r="J8" s="136"/>
      <c r="K8" s="136"/>
      <c r="L8" s="136"/>
      <c r="M8" s="99"/>
      <c r="N8" s="99"/>
      <c r="O8" s="99"/>
      <c r="P8" s="99"/>
      <c r="Q8" s="99"/>
      <c r="R8" s="99"/>
      <c r="S8" s="100"/>
      <c r="T8" s="99"/>
      <c r="U8" s="99"/>
      <c r="V8" s="99"/>
      <c r="W8" s="99"/>
      <c r="X8" s="101"/>
      <c r="Y8" s="99"/>
      <c r="Z8" s="99"/>
      <c r="AA8" s="100"/>
      <c r="AB8" s="104"/>
      <c r="AC8" s="104"/>
      <c r="AD8" s="90" t="s">
        <v>2</v>
      </c>
      <c r="AE8" s="83">
        <f>5-AE7-AE6</f>
        <v>1</v>
      </c>
      <c r="AF8" s="83">
        <f>5-AF7-AF6</f>
        <v>1</v>
      </c>
      <c r="AG8" s="83"/>
      <c r="AH8" s="84">
        <f>IF(AH6=0,0,IF(AI7=0,0,((AH6*0.7)/(AI7*1.3))))-IF(AH7=0,0,IF(AI6=0,0,(AI6/AH7)))</f>
        <v>-0.13440405748098072</v>
      </c>
      <c r="AI8" s="83">
        <f>+AH6/5</f>
        <v>2.8</v>
      </c>
      <c r="AJ8" s="83">
        <f>+AJ6-AJ7</f>
        <v>0</v>
      </c>
      <c r="AK8" s="83">
        <f>+AK6-AK7</f>
        <v>-2.2000000000000028</v>
      </c>
      <c r="AL8" s="83"/>
      <c r="AM8" s="85"/>
      <c r="AN8" s="86"/>
    </row>
    <row r="9" spans="1:40" x14ac:dyDescent="0.25">
      <c r="A9" t="str">
        <f>+'System X4'!C16</f>
        <v>07.03.21</v>
      </c>
      <c r="B9" t="str">
        <f>+'System X4'!D16</f>
        <v>SA</v>
      </c>
      <c r="C9" t="str">
        <f>+'System X4'!E16</f>
        <v>Fiorentina</v>
      </c>
      <c r="D9" t="str">
        <f>+'System X4'!F16</f>
        <v>Parma</v>
      </c>
      <c r="E9" t="str">
        <f>+'System X4'!G16</f>
        <v>3 : 3</v>
      </c>
      <c r="F9" t="str">
        <f>+'System X4'!H16</f>
        <v>N</v>
      </c>
      <c r="G9" t="str">
        <f>+'System X4'!I16</f>
        <v>07.03.21</v>
      </c>
      <c r="H9" t="str">
        <f>+'System X4'!J16</f>
        <v>SA</v>
      </c>
      <c r="I9" t="str">
        <f>+'System X4'!K16</f>
        <v>Verona</v>
      </c>
      <c r="J9" t="str">
        <f>+'System X4'!L16</f>
        <v>Milan</v>
      </c>
      <c r="K9" t="str">
        <f>+'System X4'!M16</f>
        <v>0 : 2</v>
      </c>
      <c r="L9" t="str">
        <f>+'System X4'!N16</f>
        <v>V</v>
      </c>
      <c r="M9" t="str">
        <f>+'System X4'!O16</f>
        <v>22.02.20</v>
      </c>
      <c r="N9" t="str">
        <f>+'System X4'!P16</f>
        <v>SA</v>
      </c>
      <c r="O9" t="str">
        <f>+'System X4'!Q16</f>
        <v>Fiorentina</v>
      </c>
      <c r="P9" t="str">
        <f>+'System X4'!R16</f>
        <v>Milan</v>
      </c>
      <c r="Q9" t="str">
        <f>+'System X4'!S16</f>
        <v>1 : 1</v>
      </c>
      <c r="R9" t="str">
        <f t="shared" si="0"/>
        <v>N</v>
      </c>
      <c r="S9" s="102">
        <f t="shared" si="1"/>
        <v>3</v>
      </c>
      <c r="T9">
        <f t="shared" ref="T9:T13" si="12">IF(E9=0,"",VALUE(LEFT(E9,FIND(":",E9,1)-1)))</f>
        <v>3</v>
      </c>
      <c r="U9">
        <f t="shared" ref="U9:U13" si="13">IF(E9=0,"",VALUE(RIGHT(E9,FIND(":",E9,1)-1)))</f>
        <v>3</v>
      </c>
      <c r="V9">
        <f t="shared" ref="V9:V13" si="14">IF(K9=0,"",VALUE(LEFT(K9,FIND(":",K9,1)-1)))</f>
        <v>0</v>
      </c>
      <c r="W9">
        <f t="shared" ref="W9:W13" si="15">IF(K9=0,"",VALUE(RIGHT(K9,FIND(":",K9,1)-1)))</f>
        <v>2</v>
      </c>
      <c r="X9" s="45" t="str">
        <f t="shared" si="6"/>
        <v>1 : 1</v>
      </c>
      <c r="Y9">
        <f t="shared" si="7"/>
        <v>1</v>
      </c>
      <c r="Z9">
        <f t="shared" ref="Z9:Z19" si="16">IF(X9=0,"",VALUE(RIGHT(X9,FIND(":",X9,1)-1)))</f>
        <v>1</v>
      </c>
      <c r="AA9" s="102">
        <f t="shared" si="9"/>
        <v>2.8</v>
      </c>
      <c r="AB9" s="103">
        <f t="shared" ref="AB9:AB13" si="17">IF(R9="V",Y9*1.4,IF(R9="P",Y9*0.6,Y9))</f>
        <v>1</v>
      </c>
      <c r="AC9" s="103">
        <f t="shared" ref="AC9:AC13" si="18">IF(R9="P",Z9*1.4,IF(R9="V",Z9*0.6,Z9))</f>
        <v>1</v>
      </c>
      <c r="AD9" s="88"/>
      <c r="AE9" s="87">
        <f>+AG9*3+AF9</f>
        <v>50</v>
      </c>
      <c r="AF9" s="76">
        <f>+SUM(T9:W13)</f>
        <v>29</v>
      </c>
      <c r="AG9" s="76">
        <f>+SUM(Y9:Z13)</f>
        <v>7</v>
      </c>
      <c r="AH9" s="87"/>
      <c r="AI9" s="87"/>
      <c r="AJ9" s="87"/>
      <c r="AK9" s="87"/>
      <c r="AL9" s="87"/>
      <c r="AM9" s="76"/>
      <c r="AN9" s="77"/>
    </row>
    <row r="10" spans="1:40" x14ac:dyDescent="0.25">
      <c r="A10" t="str">
        <f>+'System X4'!C17</f>
        <v>03.03.21</v>
      </c>
      <c r="B10" t="str">
        <f>+'System X4'!D17</f>
        <v>SA</v>
      </c>
      <c r="C10" t="str">
        <f>+'System X4'!E17</f>
        <v>Fiorentina</v>
      </c>
      <c r="D10" t="str">
        <f>+'System X4'!F17</f>
        <v>Roma</v>
      </c>
      <c r="E10" t="str">
        <f>+'System X4'!G17</f>
        <v>1 : 2</v>
      </c>
      <c r="F10" t="str">
        <f>+'System X4'!H17</f>
        <v>P</v>
      </c>
      <c r="G10" t="str">
        <f>+'System X4'!I17</f>
        <v>28.02.21</v>
      </c>
      <c r="H10" t="str">
        <f>+'System X4'!J17</f>
        <v>SA</v>
      </c>
      <c r="I10" t="str">
        <f>+'System X4'!K17</f>
        <v>Roma</v>
      </c>
      <c r="J10" t="str">
        <f>+'System X4'!L17</f>
        <v>Milan</v>
      </c>
      <c r="K10" t="str">
        <f>+'System X4'!M17</f>
        <v>1 : 2</v>
      </c>
      <c r="L10" t="str">
        <f>+'System X4'!N17</f>
        <v>V</v>
      </c>
      <c r="M10" t="str">
        <f>+'System X4'!O17</f>
        <v>11.05.19</v>
      </c>
      <c r="N10" t="str">
        <f>+'System X4'!P17</f>
        <v>SA</v>
      </c>
      <c r="O10" t="str">
        <f>+'System X4'!Q17</f>
        <v>Fiorentina</v>
      </c>
      <c r="P10" t="str">
        <f>+'System X4'!R17</f>
        <v>Milan</v>
      </c>
      <c r="Q10" t="str">
        <f>+'System X4'!S17</f>
        <v>0 : 1</v>
      </c>
      <c r="R10" t="str">
        <f t="shared" si="0"/>
        <v>P</v>
      </c>
      <c r="S10" s="102">
        <f t="shared" si="1"/>
        <v>0.6</v>
      </c>
      <c r="T10">
        <f t="shared" si="12"/>
        <v>1</v>
      </c>
      <c r="U10">
        <f t="shared" si="13"/>
        <v>2</v>
      </c>
      <c r="V10">
        <f t="shared" si="14"/>
        <v>1</v>
      </c>
      <c r="W10">
        <f t="shared" si="15"/>
        <v>2</v>
      </c>
      <c r="X10" s="45" t="str">
        <f t="shared" si="6"/>
        <v>0 : 1</v>
      </c>
      <c r="Y10">
        <f t="shared" si="7"/>
        <v>0</v>
      </c>
      <c r="Z10">
        <f t="shared" si="16"/>
        <v>1</v>
      </c>
      <c r="AA10" s="102">
        <f t="shared" si="9"/>
        <v>2.8</v>
      </c>
      <c r="AB10" s="103">
        <f t="shared" si="17"/>
        <v>0</v>
      </c>
      <c r="AC10" s="103">
        <f t="shared" si="18"/>
        <v>1.4</v>
      </c>
      <c r="AD10" s="91"/>
      <c r="AE10" s="79" t="str">
        <f>IF(AE9&gt;75,"OVER2,5",IF(AE9&lt;60,"UNDER2,5",""))</f>
        <v>UNDER2,5</v>
      </c>
      <c r="AF10" s="78"/>
      <c r="AG10" s="78"/>
      <c r="AH10" s="79" t="str">
        <f>IF(AH14&gt;1,"X2",IF(AND(AK14&gt;1,AH14&lt;-0.5),"1",""))</f>
        <v/>
      </c>
      <c r="AI10" s="79" t="str">
        <f>IF(AE9&lt;65,"",IF(AI14&gt;1.5,"Over 1,5",""))</f>
        <v/>
      </c>
      <c r="AJ10" s="79" t="str">
        <f>IF(AND(AJ14&lt;1,AJ14&gt;-3),"Under2,5",IF(AND(AJ14&lt;-3,AJ14&gt;-7),"NG",IF(AND(AK14&gt;1,AJ14&gt;5),"GG","")))</f>
        <v>NG</v>
      </c>
      <c r="AK10" s="79" t="str">
        <f>IF((AE14+AF14)&gt;3,"X",IF(AK14&gt;5,"1",""))</f>
        <v/>
      </c>
      <c r="AL10" s="79"/>
      <c r="AM10" s="80"/>
      <c r="AN10" s="81" t="str">
        <f>+AE10&amp;"-"&amp;+AH10&amp;"-"&amp;+AI10&amp;"-"&amp;+AJ10&amp;"-"&amp;+AK10</f>
        <v>UNDER2,5---NG-</v>
      </c>
    </row>
    <row r="11" spans="1:40" x14ac:dyDescent="0.25">
      <c r="A11" t="str">
        <f>+'System X4'!C18</f>
        <v>19.02.21</v>
      </c>
      <c r="B11" t="str">
        <f>+'System X4'!D18</f>
        <v>SA</v>
      </c>
      <c r="C11" t="str">
        <f>+'System X4'!E18</f>
        <v>Fiorentina</v>
      </c>
      <c r="D11" t="str">
        <f>+'System X4'!F18</f>
        <v>Spezia</v>
      </c>
      <c r="E11" t="str">
        <f>+'System X4'!G18</f>
        <v>3 : 0</v>
      </c>
      <c r="F11" t="str">
        <f>+'System X4'!H18</f>
        <v>V</v>
      </c>
      <c r="G11" t="str">
        <f>+'System X4'!I18</f>
        <v>13.02.21</v>
      </c>
      <c r="H11" t="str">
        <f>+'System X4'!J18</f>
        <v>SA</v>
      </c>
      <c r="I11" t="str">
        <f>+'System X4'!K18</f>
        <v>Spezia</v>
      </c>
      <c r="J11" t="str">
        <f>+'System X4'!L18</f>
        <v>Milan</v>
      </c>
      <c r="K11" t="str">
        <f>+'System X4'!M18</f>
        <v>2 : 0</v>
      </c>
      <c r="L11" t="str">
        <f>+'System X4'!N18</f>
        <v>P</v>
      </c>
      <c r="M11" t="str">
        <f>+'System X4'!O18</f>
        <v>30.12.17</v>
      </c>
      <c r="N11" t="str">
        <f>+'System X4'!P18</f>
        <v>SA</v>
      </c>
      <c r="O11" t="str">
        <f>+'System X4'!Q18</f>
        <v>Fiorentina</v>
      </c>
      <c r="P11" t="str">
        <f>+'System X4'!R18</f>
        <v>Milan</v>
      </c>
      <c r="Q11" t="str">
        <f>+'System X4'!S18</f>
        <v>1 : 1</v>
      </c>
      <c r="R11" t="str">
        <f t="shared" si="0"/>
        <v>N</v>
      </c>
      <c r="S11" s="102">
        <f t="shared" si="1"/>
        <v>4.1999999999999993</v>
      </c>
      <c r="T11">
        <f t="shared" si="12"/>
        <v>3</v>
      </c>
      <c r="U11">
        <f t="shared" si="13"/>
        <v>0</v>
      </c>
      <c r="V11">
        <f t="shared" si="14"/>
        <v>2</v>
      </c>
      <c r="W11">
        <f t="shared" si="15"/>
        <v>0</v>
      </c>
      <c r="X11" s="45" t="str">
        <f t="shared" si="6"/>
        <v>1 : 1</v>
      </c>
      <c r="Y11">
        <f t="shared" si="7"/>
        <v>1</v>
      </c>
      <c r="Z11">
        <f t="shared" si="16"/>
        <v>1</v>
      </c>
      <c r="AA11" s="102">
        <f t="shared" si="9"/>
        <v>0</v>
      </c>
      <c r="AB11" s="103">
        <f t="shared" si="17"/>
        <v>1</v>
      </c>
      <c r="AC11" s="103">
        <f t="shared" si="18"/>
        <v>1</v>
      </c>
      <c r="AD11" s="89"/>
      <c r="AE11" s="82" t="s">
        <v>11</v>
      </c>
      <c r="AF11" s="82" t="s">
        <v>12</v>
      </c>
      <c r="AG11" s="82"/>
      <c r="AH11" s="82" t="s">
        <v>13</v>
      </c>
      <c r="AI11" s="82" t="s">
        <v>14</v>
      </c>
      <c r="AJ11" s="82" t="s">
        <v>17</v>
      </c>
      <c r="AK11" s="82"/>
      <c r="AL11" s="82"/>
      <c r="AM11" s="80"/>
      <c r="AN11" s="81"/>
    </row>
    <row r="12" spans="1:40" x14ac:dyDescent="0.25">
      <c r="A12" t="str">
        <f>+'System X4'!C19</f>
        <v>05.02.21</v>
      </c>
      <c r="B12" t="str">
        <f>+'System X4'!D19</f>
        <v>SA</v>
      </c>
      <c r="C12" t="str">
        <f>+'System X4'!E19</f>
        <v>Fiorentina</v>
      </c>
      <c r="D12" t="str">
        <f>+'System X4'!F19</f>
        <v>Inter</v>
      </c>
      <c r="E12" t="str">
        <f>+'System X4'!G19</f>
        <v>0 : 2</v>
      </c>
      <c r="F12" t="str">
        <f>+'System X4'!H19</f>
        <v>P</v>
      </c>
      <c r="G12" t="str">
        <f>+'System X4'!I19</f>
        <v>30.01.21</v>
      </c>
      <c r="H12" t="str">
        <f>+'System X4'!J19</f>
        <v>SA</v>
      </c>
      <c r="I12" t="str">
        <f>+'System X4'!K19</f>
        <v>Bologna</v>
      </c>
      <c r="J12" t="str">
        <f>+'System X4'!L19</f>
        <v>Milan</v>
      </c>
      <c r="K12" t="str">
        <f>+'System X4'!M19</f>
        <v>1 : 2</v>
      </c>
      <c r="L12" t="str">
        <f>+'System X4'!N19</f>
        <v>V</v>
      </c>
      <c r="M12" t="str">
        <f>+'System X4'!O19</f>
        <v>25.09.16</v>
      </c>
      <c r="N12" t="str">
        <f>+'System X4'!P19</f>
        <v>SA</v>
      </c>
      <c r="O12" t="str">
        <f>+'System X4'!Q19</f>
        <v>Fiorentina</v>
      </c>
      <c r="P12" t="str">
        <f>+'System X4'!R19</f>
        <v>Milan</v>
      </c>
      <c r="Q12" t="str">
        <f>+'System X4'!S19</f>
        <v>0 : 0</v>
      </c>
      <c r="R12" t="str">
        <f t="shared" si="0"/>
        <v>N</v>
      </c>
      <c r="S12" s="102">
        <f t="shared" si="1"/>
        <v>0</v>
      </c>
      <c r="T12">
        <f t="shared" si="12"/>
        <v>0</v>
      </c>
      <c r="U12">
        <f t="shared" si="13"/>
        <v>2</v>
      </c>
      <c r="V12">
        <f t="shared" si="14"/>
        <v>1</v>
      </c>
      <c r="W12">
        <f t="shared" si="15"/>
        <v>2</v>
      </c>
      <c r="X12" s="45" t="str">
        <f t="shared" si="6"/>
        <v>0 : 0</v>
      </c>
      <c r="Y12">
        <f t="shared" si="7"/>
        <v>0</v>
      </c>
      <c r="Z12">
        <f t="shared" si="16"/>
        <v>0</v>
      </c>
      <c r="AA12" s="102">
        <f t="shared" si="9"/>
        <v>2.8</v>
      </c>
      <c r="AB12" s="103">
        <f t="shared" si="17"/>
        <v>0</v>
      </c>
      <c r="AC12" s="103">
        <f t="shared" si="18"/>
        <v>0</v>
      </c>
      <c r="AD12" s="89" t="s">
        <v>1</v>
      </c>
      <c r="AE12" s="82">
        <f>COUNTIF(F9:F13,"V")</f>
        <v>2</v>
      </c>
      <c r="AF12" s="82">
        <f>COUNTIF(L9:L13,"V")</f>
        <v>4</v>
      </c>
      <c r="AG12" s="82" t="s">
        <v>15</v>
      </c>
      <c r="AH12" s="82">
        <f>+SUM(T9:T13)+SUM(Y9:Y13)</f>
        <v>13</v>
      </c>
      <c r="AI12" s="82">
        <f>+SUM(V9:V13)+SUM(Z9:Z13)</f>
        <v>7</v>
      </c>
      <c r="AJ12" s="82">
        <f>+AE12*3+AE14*1</f>
        <v>7</v>
      </c>
      <c r="AK12" s="82">
        <f>+SUM(S9:S13)+(SUM(AB9:AB13)*3)</f>
        <v>24.999999999999996</v>
      </c>
      <c r="AL12" s="82">
        <f>+AE12-AF12*2-AE13+AF13</f>
        <v>-7</v>
      </c>
      <c r="AM12" s="80"/>
      <c r="AN12" s="81" t="str">
        <f>+A8</f>
        <v>Fiorentina</v>
      </c>
    </row>
    <row r="13" spans="1:40" x14ac:dyDescent="0.25">
      <c r="A13" t="str">
        <f>+'System X4'!C20</f>
        <v>23.01.21</v>
      </c>
      <c r="B13" t="str">
        <f>+'System X4'!D20</f>
        <v>SA</v>
      </c>
      <c r="C13" t="str">
        <f>+'System X4'!E20</f>
        <v>Fiorentina</v>
      </c>
      <c r="D13" t="str">
        <f>+'System X4'!F20</f>
        <v>Crotone</v>
      </c>
      <c r="E13" t="str">
        <f>+'System X4'!G20</f>
        <v>2 : 1</v>
      </c>
      <c r="F13" t="str">
        <f>+'System X4'!H20</f>
        <v>V</v>
      </c>
      <c r="G13" t="str">
        <f>+'System X4'!I20</f>
        <v>18.01.21</v>
      </c>
      <c r="H13" t="str">
        <f>+'System X4'!J20</f>
        <v>SA</v>
      </c>
      <c r="I13" t="str">
        <f>+'System X4'!K20</f>
        <v>Cagliari</v>
      </c>
      <c r="J13" t="str">
        <f>+'System X4'!L20</f>
        <v>Milan</v>
      </c>
      <c r="K13" t="str">
        <f>+'System X4'!M20</f>
        <v>0 : 2</v>
      </c>
      <c r="L13" t="str">
        <f>+'System X4'!N20</f>
        <v>V</v>
      </c>
      <c r="M13" t="str">
        <f>+'System X4'!O20</f>
        <v>23.08.15</v>
      </c>
      <c r="N13" t="str">
        <f>+'System X4'!P20</f>
        <v>SA</v>
      </c>
      <c r="O13" t="str">
        <f>+'System X4'!Q20</f>
        <v>Fiorentina</v>
      </c>
      <c r="P13" t="str">
        <f>+'System X4'!R20</f>
        <v>Milan</v>
      </c>
      <c r="Q13" t="str">
        <f>+'System X4'!S20</f>
        <v>2 : 0</v>
      </c>
      <c r="R13" t="str">
        <f t="shared" si="0"/>
        <v>V</v>
      </c>
      <c r="S13" s="102">
        <f t="shared" si="1"/>
        <v>2.8</v>
      </c>
      <c r="T13">
        <f t="shared" si="12"/>
        <v>2</v>
      </c>
      <c r="U13">
        <f t="shared" si="13"/>
        <v>1</v>
      </c>
      <c r="V13">
        <f t="shared" si="14"/>
        <v>0</v>
      </c>
      <c r="W13">
        <f t="shared" si="15"/>
        <v>2</v>
      </c>
      <c r="X13" s="45" t="str">
        <f t="shared" si="6"/>
        <v>2 : 0</v>
      </c>
      <c r="Y13">
        <f t="shared" si="7"/>
        <v>2</v>
      </c>
      <c r="Z13">
        <f t="shared" si="16"/>
        <v>0</v>
      </c>
      <c r="AA13" s="102">
        <f t="shared" si="9"/>
        <v>2.8</v>
      </c>
      <c r="AB13" s="103">
        <f t="shared" si="17"/>
        <v>2.8</v>
      </c>
      <c r="AC13" s="103">
        <f t="shared" si="18"/>
        <v>0</v>
      </c>
      <c r="AD13" s="89" t="s">
        <v>0</v>
      </c>
      <c r="AE13" s="82">
        <f>COUNTIF(F9:F13,"P")</f>
        <v>2</v>
      </c>
      <c r="AF13" s="82">
        <f>COUNTIF(L9:L13,"P")</f>
        <v>1</v>
      </c>
      <c r="AG13" s="82" t="s">
        <v>16</v>
      </c>
      <c r="AH13" s="82">
        <f>+SUM(U9:U13)+SUM(Z9:Z13)</f>
        <v>11</v>
      </c>
      <c r="AI13" s="82">
        <f>+SUM(W9:W13)+SUM(Y9:Y13)</f>
        <v>12</v>
      </c>
      <c r="AJ13" s="82">
        <f>+AF12*3+AF14*1</f>
        <v>12</v>
      </c>
      <c r="AK13" s="82">
        <f>+SUM(AA9:AA13)+(SUM(AC9:AC13)*3)</f>
        <v>21.4</v>
      </c>
      <c r="AL13" s="82">
        <f>+AH12+AI13-AH13-AI12</f>
        <v>7</v>
      </c>
      <c r="AM13" s="80"/>
      <c r="AN13" s="81" t="str">
        <f>+G8</f>
        <v>Milan</v>
      </c>
    </row>
    <row r="14" spans="1:40" ht="15.75" thickBot="1" x14ac:dyDescent="0.3">
      <c r="A14" s="136" t="str">
        <f>+C15</f>
        <v>Roma</v>
      </c>
      <c r="B14" s="136"/>
      <c r="C14" s="136"/>
      <c r="D14" s="136"/>
      <c r="E14" s="136"/>
      <c r="F14" s="136"/>
      <c r="G14" s="136" t="str">
        <f>+J15</f>
        <v>Napoli</v>
      </c>
      <c r="H14" s="136"/>
      <c r="I14" s="136"/>
      <c r="J14" s="136"/>
      <c r="K14" s="136"/>
      <c r="L14" s="136"/>
      <c r="M14" s="99"/>
      <c r="N14" s="99"/>
      <c r="O14" s="99"/>
      <c r="P14" s="99"/>
      <c r="Q14" s="99"/>
      <c r="R14" s="99"/>
      <c r="S14" s="100"/>
      <c r="T14" s="99"/>
      <c r="U14" s="99"/>
      <c r="V14" s="99"/>
      <c r="W14" s="99"/>
      <c r="X14" s="101"/>
      <c r="Y14" s="99"/>
      <c r="Z14" s="99"/>
      <c r="AA14" s="100"/>
      <c r="AB14" s="104"/>
      <c r="AC14" s="104"/>
      <c r="AD14" s="90" t="s">
        <v>2</v>
      </c>
      <c r="AE14" s="83">
        <f>5-AE13-AE12</f>
        <v>1</v>
      </c>
      <c r="AF14" s="83">
        <f>5-AF13-AF12</f>
        <v>0</v>
      </c>
      <c r="AG14" s="83"/>
      <c r="AH14" s="84">
        <f>IF(AH12=0,0,IF(AI13=0,0,((AH12*0.7)/(AI13*1.3))))-IF(AH13=0,0,IF(AI12=0,0,(AI12/AH13)))</f>
        <v>-5.3030303030303094E-2</v>
      </c>
      <c r="AI14" s="83">
        <f>+AH12/5</f>
        <v>2.6</v>
      </c>
      <c r="AJ14" s="83">
        <f>+AJ12-AJ13</f>
        <v>-5</v>
      </c>
      <c r="AK14" s="83">
        <f>+AK12-AK13</f>
        <v>3.5999999999999979</v>
      </c>
      <c r="AL14" s="83"/>
      <c r="AM14" s="85"/>
      <c r="AN14" s="86"/>
    </row>
    <row r="15" spans="1:40" x14ac:dyDescent="0.25">
      <c r="A15" t="str">
        <f>+'System X4'!C23</f>
        <v>07.03.21</v>
      </c>
      <c r="B15" t="str">
        <f>+'System X4'!D23</f>
        <v>SA</v>
      </c>
      <c r="C15" t="str">
        <f>+'System X4'!E23</f>
        <v>Roma</v>
      </c>
      <c r="D15" t="str">
        <f>+'System X4'!F23</f>
        <v>Genoa</v>
      </c>
      <c r="E15" t="str">
        <f>+'System X4'!G23</f>
        <v>1 : 0</v>
      </c>
      <c r="F15" t="str">
        <f>+'System X4'!H23</f>
        <v>V</v>
      </c>
      <c r="G15" t="str">
        <f>+'System X4'!I23</f>
        <v>14.03.21</v>
      </c>
      <c r="H15" t="str">
        <f>+'System X4'!J23</f>
        <v>SA</v>
      </c>
      <c r="I15" t="str">
        <f>+'System X4'!K23</f>
        <v>Milan</v>
      </c>
      <c r="J15" t="str">
        <f>+'System X4'!L23</f>
        <v>Napoli</v>
      </c>
      <c r="K15" t="str">
        <f>+'System X4'!M23</f>
        <v>0 : 1</v>
      </c>
      <c r="L15" t="str">
        <f>+'System X4'!N23</f>
        <v>V</v>
      </c>
      <c r="M15" t="str">
        <f>+'System X4'!O23</f>
        <v>02.11.19</v>
      </c>
      <c r="N15" t="str">
        <f>+'System X4'!P23</f>
        <v>SA</v>
      </c>
      <c r="O15" t="str">
        <f>+'System X4'!Q23</f>
        <v>Roma</v>
      </c>
      <c r="P15" t="str">
        <f>+'System X4'!R23</f>
        <v>Napoli</v>
      </c>
      <c r="Q15" t="str">
        <f>+'System X4'!S23</f>
        <v>2 : 1</v>
      </c>
      <c r="R15" t="str">
        <f t="shared" si="0"/>
        <v>V</v>
      </c>
      <c r="S15" s="102">
        <f t="shared" si="1"/>
        <v>1.4</v>
      </c>
      <c r="T15">
        <f t="shared" ref="T15:T19" si="19">IF(E15=0,"",VALUE(LEFT(E15,FIND(":",E15,1)-1)))</f>
        <v>1</v>
      </c>
      <c r="U15">
        <f t="shared" ref="U15:U19" si="20">IF(E15=0,"",VALUE(RIGHT(E15,FIND(":",E15,1)-1)))</f>
        <v>0</v>
      </c>
      <c r="V15">
        <f t="shared" ref="V15:V19" si="21">IF(K15=0,"",VALUE(LEFT(K15,FIND(":",K15,1)-1)))</f>
        <v>0</v>
      </c>
      <c r="W15">
        <f t="shared" ref="W15:W19" si="22">IF(K15=0,"",VALUE(RIGHT(K15,FIND(":",K15,1)-1)))</f>
        <v>1</v>
      </c>
      <c r="X15" s="45" t="str">
        <f t="shared" si="6"/>
        <v>2 : 1</v>
      </c>
      <c r="Y15">
        <f t="shared" si="7"/>
        <v>2</v>
      </c>
      <c r="Z15">
        <f t="shared" si="16"/>
        <v>1</v>
      </c>
      <c r="AA15" s="102">
        <f t="shared" si="9"/>
        <v>1.4</v>
      </c>
      <c r="AB15" s="103">
        <f t="shared" ref="AB15:AB19" si="23">IF(R15="V",Y15*1.4,IF(R15="P",Y15*0.6,Y15))</f>
        <v>2.8</v>
      </c>
      <c r="AC15" s="103">
        <f t="shared" ref="AC15:AC19" si="24">IF(R15="P",Z15*1.4,IF(R15="V",Z15*0.6,Z15))</f>
        <v>0.6</v>
      </c>
      <c r="AD15" s="88"/>
      <c r="AE15" s="87">
        <f>+AG15*3+AF15</f>
        <v>77</v>
      </c>
      <c r="AF15" s="76">
        <f>+SUM(T15:W19)</f>
        <v>38</v>
      </c>
      <c r="AG15" s="76">
        <f>+SUM(Y15:Z19)</f>
        <v>13</v>
      </c>
      <c r="AH15" s="87"/>
      <c r="AI15" s="87"/>
      <c r="AJ15" s="87"/>
      <c r="AK15" s="87"/>
      <c r="AL15" s="87"/>
      <c r="AM15" s="76"/>
      <c r="AN15" s="77"/>
    </row>
    <row r="16" spans="1:40" x14ac:dyDescent="0.25">
      <c r="A16" t="str">
        <f>+'System X4'!C24</f>
        <v>28.02.21</v>
      </c>
      <c r="B16" t="str">
        <f>+'System X4'!D24</f>
        <v>SA</v>
      </c>
      <c r="C16" t="str">
        <f>+'System X4'!E24</f>
        <v>Roma</v>
      </c>
      <c r="D16" t="str">
        <f>+'System X4'!F24</f>
        <v>Milan</v>
      </c>
      <c r="E16" t="str">
        <f>+'System X4'!G24</f>
        <v>1 : 2</v>
      </c>
      <c r="F16" t="str">
        <f>+'System X4'!H24</f>
        <v>P</v>
      </c>
      <c r="G16" t="str">
        <f>+'System X4'!I24</f>
        <v>03.03.21</v>
      </c>
      <c r="H16" t="str">
        <f>+'System X4'!J24</f>
        <v>SA</v>
      </c>
      <c r="I16" t="str">
        <f>+'System X4'!K24</f>
        <v>Sassuolo</v>
      </c>
      <c r="J16" t="str">
        <f>+'System X4'!L24</f>
        <v>Napoli</v>
      </c>
      <c r="K16" t="str">
        <f>+'System X4'!M24</f>
        <v>3 : 3</v>
      </c>
      <c r="L16" t="str">
        <f>+'System X4'!N24</f>
        <v>N</v>
      </c>
      <c r="M16" t="str">
        <f>+'System X4'!O24</f>
        <v>31.03.19</v>
      </c>
      <c r="N16" t="str">
        <f>+'System X4'!P24</f>
        <v>SA</v>
      </c>
      <c r="O16" t="str">
        <f>+'System X4'!Q24</f>
        <v>Roma</v>
      </c>
      <c r="P16" t="str">
        <f>+'System X4'!R24</f>
        <v>Napoli</v>
      </c>
      <c r="Q16" t="str">
        <f>+'System X4'!S24</f>
        <v>1 : 4</v>
      </c>
      <c r="R16" t="str">
        <f t="shared" si="0"/>
        <v>P</v>
      </c>
      <c r="S16" s="102">
        <f t="shared" si="1"/>
        <v>0.6</v>
      </c>
      <c r="T16">
        <f t="shared" si="19"/>
        <v>1</v>
      </c>
      <c r="U16">
        <f t="shared" si="20"/>
        <v>2</v>
      </c>
      <c r="V16">
        <f t="shared" si="21"/>
        <v>3</v>
      </c>
      <c r="W16">
        <f t="shared" si="22"/>
        <v>3</v>
      </c>
      <c r="X16" s="45" t="str">
        <f t="shared" si="6"/>
        <v>1 : 4</v>
      </c>
      <c r="Y16">
        <f t="shared" si="7"/>
        <v>1</v>
      </c>
      <c r="Z16">
        <f t="shared" si="16"/>
        <v>4</v>
      </c>
      <c r="AA16" s="102">
        <f t="shared" si="9"/>
        <v>3</v>
      </c>
      <c r="AB16" s="103">
        <f t="shared" si="23"/>
        <v>0.6</v>
      </c>
      <c r="AC16" s="103">
        <f t="shared" si="24"/>
        <v>5.6</v>
      </c>
      <c r="AD16" s="91"/>
      <c r="AE16" s="79" t="str">
        <f>IF(AE15&gt;75,"OVER2,5",IF(AE15&lt;60,"UNDER2,5",""))</f>
        <v>OVER2,5</v>
      </c>
      <c r="AF16" s="78"/>
      <c r="AG16" s="78"/>
      <c r="AH16" s="79" t="str">
        <f>IF(AH20&gt;1,"X2",IF(AND(AK20&gt;1,AH20&lt;-0.5),"1",""))</f>
        <v/>
      </c>
      <c r="AI16" s="79" t="str">
        <f>IF(AE15&lt;65,"",IF(AI20&gt;1.5,"Over 1,5",""))</f>
        <v>Over 1,5</v>
      </c>
      <c r="AJ16" s="79" t="str">
        <f>IF(AND(AJ20&lt;1,AJ20&gt;-3),"Under2,5",IF(AND(AJ20&lt;-3,AJ20&gt;-7),"NG",IF(AND(AK20&gt;1,AJ20&gt;5),"GG","")))</f>
        <v/>
      </c>
      <c r="AK16" s="79" t="str">
        <f>IF((AE20+AF20)&gt;3,"X",IF(AK20&gt;5,"1",""))</f>
        <v/>
      </c>
      <c r="AL16" s="79"/>
      <c r="AM16" s="80"/>
      <c r="AN16" s="81" t="str">
        <f>+AE16&amp;"-"&amp;+AH16&amp;"-"&amp;+AI16&amp;"-"&amp;+AJ16&amp;"-"&amp;+AK16</f>
        <v>OVER2,5--Over 1,5--</v>
      </c>
    </row>
    <row r="17" spans="1:41" x14ac:dyDescent="0.25">
      <c r="A17" t="str">
        <f>+'System X4'!C25</f>
        <v>14.02.21</v>
      </c>
      <c r="B17" t="str">
        <f>+'System X4'!D25</f>
        <v>SA</v>
      </c>
      <c r="C17" t="str">
        <f>+'System X4'!E25</f>
        <v>Roma</v>
      </c>
      <c r="D17" t="str">
        <f>+'System X4'!F25</f>
        <v>Udinese</v>
      </c>
      <c r="E17" t="str">
        <f>+'System X4'!G25</f>
        <v>3 : 0</v>
      </c>
      <c r="F17" t="str">
        <f>+'System X4'!H25</f>
        <v>V</v>
      </c>
      <c r="G17" t="str">
        <f>+'System X4'!I25</f>
        <v>21.02.21</v>
      </c>
      <c r="H17" t="str">
        <f>+'System X4'!J25</f>
        <v>SA</v>
      </c>
      <c r="I17" t="str">
        <f>+'System X4'!K25</f>
        <v>Atalanta</v>
      </c>
      <c r="J17" t="str">
        <f>+'System X4'!L25</f>
        <v>Napoli</v>
      </c>
      <c r="K17" t="str">
        <f>+'System X4'!M25</f>
        <v>4 : 2</v>
      </c>
      <c r="L17" t="str">
        <f>+'System X4'!N25</f>
        <v>P</v>
      </c>
      <c r="M17" t="str">
        <f>+'System X4'!O25</f>
        <v>14.10.17</v>
      </c>
      <c r="N17" t="str">
        <f>+'System X4'!P25</f>
        <v>SA</v>
      </c>
      <c r="O17" t="str">
        <f>+'System X4'!Q25</f>
        <v>Roma</v>
      </c>
      <c r="P17" t="str">
        <f>+'System X4'!R25</f>
        <v>Napoli</v>
      </c>
      <c r="Q17" t="str">
        <f>+'System X4'!S25</f>
        <v>0 : 1</v>
      </c>
      <c r="R17" t="str">
        <f t="shared" si="0"/>
        <v>P</v>
      </c>
      <c r="S17" s="102">
        <f t="shared" si="1"/>
        <v>4.1999999999999993</v>
      </c>
      <c r="T17">
        <f t="shared" si="19"/>
        <v>3</v>
      </c>
      <c r="U17">
        <f t="shared" si="20"/>
        <v>0</v>
      </c>
      <c r="V17">
        <f t="shared" si="21"/>
        <v>4</v>
      </c>
      <c r="W17">
        <f t="shared" si="22"/>
        <v>2</v>
      </c>
      <c r="X17" s="45" t="str">
        <f t="shared" si="6"/>
        <v>0 : 1</v>
      </c>
      <c r="Y17">
        <f t="shared" si="7"/>
        <v>0</v>
      </c>
      <c r="Z17">
        <f t="shared" si="16"/>
        <v>1</v>
      </c>
      <c r="AA17" s="102">
        <f t="shared" si="9"/>
        <v>1.2</v>
      </c>
      <c r="AB17" s="103">
        <f t="shared" si="23"/>
        <v>0</v>
      </c>
      <c r="AC17" s="103">
        <f t="shared" si="24"/>
        <v>1.4</v>
      </c>
      <c r="AD17" s="89"/>
      <c r="AE17" s="82" t="s">
        <v>11</v>
      </c>
      <c r="AF17" s="82" t="s">
        <v>12</v>
      </c>
      <c r="AG17" s="82"/>
      <c r="AH17" s="82" t="s">
        <v>13</v>
      </c>
      <c r="AI17" s="82" t="s">
        <v>14</v>
      </c>
      <c r="AJ17" s="82" t="s">
        <v>17</v>
      </c>
      <c r="AK17" s="82"/>
      <c r="AL17" s="82"/>
      <c r="AM17" s="80"/>
      <c r="AN17" s="81"/>
    </row>
    <row r="18" spans="1:41" x14ac:dyDescent="0.25">
      <c r="A18" t="str">
        <f>+'System X4'!C26</f>
        <v>31.01.21</v>
      </c>
      <c r="B18" t="str">
        <f>+'System X4'!D26</f>
        <v>SA</v>
      </c>
      <c r="C18" t="str">
        <f>+'System X4'!E26</f>
        <v>Roma</v>
      </c>
      <c r="D18" t="str">
        <f>+'System X4'!F26</f>
        <v>Verona</v>
      </c>
      <c r="E18" t="str">
        <f>+'System X4'!G26</f>
        <v>3 : 1</v>
      </c>
      <c r="F18" t="str">
        <f>+'System X4'!H26</f>
        <v>V</v>
      </c>
      <c r="G18" t="str">
        <f>+'System X4'!I26</f>
        <v>06.02.21</v>
      </c>
      <c r="H18" t="str">
        <f>+'System X4'!J26</f>
        <v>SA</v>
      </c>
      <c r="I18" t="str">
        <f>+'System X4'!K26</f>
        <v>Genoa</v>
      </c>
      <c r="J18" t="str">
        <f>+'System X4'!L26</f>
        <v>Napoli</v>
      </c>
      <c r="K18" t="str">
        <f>+'System X4'!M26</f>
        <v>2 : 1</v>
      </c>
      <c r="L18" t="str">
        <f>+'System X4'!N26</f>
        <v>P</v>
      </c>
      <c r="M18" t="str">
        <f>+'System X4'!O26</f>
        <v>04.03.17</v>
      </c>
      <c r="N18" t="str">
        <f>+'System X4'!P26</f>
        <v>SA</v>
      </c>
      <c r="O18" t="str">
        <f>+'System X4'!Q26</f>
        <v>Roma</v>
      </c>
      <c r="P18" t="str">
        <f>+'System X4'!R26</f>
        <v>Napoli</v>
      </c>
      <c r="Q18" t="str">
        <f>+'System X4'!S26</f>
        <v>1 : 2</v>
      </c>
      <c r="R18" t="str">
        <f t="shared" si="0"/>
        <v>P</v>
      </c>
      <c r="S18" s="102">
        <f t="shared" si="1"/>
        <v>4.1999999999999993</v>
      </c>
      <c r="T18">
        <f t="shared" si="19"/>
        <v>3</v>
      </c>
      <c r="U18">
        <f t="shared" si="20"/>
        <v>1</v>
      </c>
      <c r="V18">
        <f t="shared" si="21"/>
        <v>2</v>
      </c>
      <c r="W18">
        <f t="shared" si="22"/>
        <v>1</v>
      </c>
      <c r="X18" s="45" t="str">
        <f t="shared" si="6"/>
        <v>1 : 2</v>
      </c>
      <c r="Y18">
        <f t="shared" si="7"/>
        <v>1</v>
      </c>
      <c r="Z18">
        <f t="shared" si="16"/>
        <v>2</v>
      </c>
      <c r="AA18" s="102">
        <f t="shared" si="9"/>
        <v>0.6</v>
      </c>
      <c r="AB18" s="103">
        <f t="shared" si="23"/>
        <v>0.6</v>
      </c>
      <c r="AC18" s="103">
        <f t="shared" si="24"/>
        <v>2.8</v>
      </c>
      <c r="AD18" s="89" t="s">
        <v>1</v>
      </c>
      <c r="AE18" s="82">
        <f>COUNTIF(F15:F19,"V")</f>
        <v>4</v>
      </c>
      <c r="AF18" s="82">
        <f>COUNTIF(L15:L19,"V")</f>
        <v>1</v>
      </c>
      <c r="AG18" s="82" t="s">
        <v>15</v>
      </c>
      <c r="AH18" s="82">
        <f>+SUM(T15:T19)+SUM(Y15:Y19)</f>
        <v>17</v>
      </c>
      <c r="AI18" s="82">
        <f>+SUM(V15:V19)+SUM(Z15:Z19)</f>
        <v>20</v>
      </c>
      <c r="AJ18" s="82">
        <f>+AE18*3+AE20*1</f>
        <v>12</v>
      </c>
      <c r="AK18" s="82">
        <f>+SUM(S15:S19)+(SUM(AB15:AB19)*3)</f>
        <v>32.200000000000003</v>
      </c>
      <c r="AL18" s="82">
        <f>+AE18-AF18*2-AE19+AF19</f>
        <v>4</v>
      </c>
      <c r="AM18" s="80"/>
      <c r="AN18" s="81" t="str">
        <f>+A14</f>
        <v>Roma</v>
      </c>
    </row>
    <row r="19" spans="1:41" x14ac:dyDescent="0.25">
      <c r="A19" t="str">
        <f>+'System X4'!C27</f>
        <v>23.01.21</v>
      </c>
      <c r="B19" t="str">
        <f>+'System X4'!D27</f>
        <v>SA</v>
      </c>
      <c r="C19" t="str">
        <f>+'System X4'!E27</f>
        <v>Roma</v>
      </c>
      <c r="D19" t="str">
        <f>+'System X4'!F27</f>
        <v>Spezia</v>
      </c>
      <c r="E19" t="str">
        <f>+'System X4'!G27</f>
        <v>4 : 3</v>
      </c>
      <c r="F19" t="str">
        <f>+'System X4'!H27</f>
        <v>V</v>
      </c>
      <c r="G19" t="str">
        <f>+'System X4'!I27</f>
        <v>24.01.21</v>
      </c>
      <c r="H19" t="str">
        <f>+'System X4'!J27</f>
        <v>SA</v>
      </c>
      <c r="I19" t="str">
        <f>+'System X4'!K27</f>
        <v>Verona</v>
      </c>
      <c r="J19" t="str">
        <f>+'System X4'!L27</f>
        <v>Napoli</v>
      </c>
      <c r="K19" t="str">
        <f>+'System X4'!M27</f>
        <v>3 : 1</v>
      </c>
      <c r="L19" t="str">
        <f>+'System X4'!N27</f>
        <v>P</v>
      </c>
      <c r="M19" t="str">
        <f>+'System X4'!O27</f>
        <v>25.04.16</v>
      </c>
      <c r="N19" t="str">
        <f>+'System X4'!P27</f>
        <v>SA</v>
      </c>
      <c r="O19" t="str">
        <f>+'System X4'!Q27</f>
        <v>Roma</v>
      </c>
      <c r="P19" t="str">
        <f>+'System X4'!R27</f>
        <v>Napoli</v>
      </c>
      <c r="Q19" t="str">
        <f>+'System X4'!S27</f>
        <v>1 : 0</v>
      </c>
      <c r="R19" t="str">
        <f t="shared" si="0"/>
        <v>V</v>
      </c>
      <c r="S19" s="102">
        <f t="shared" si="1"/>
        <v>5.6</v>
      </c>
      <c r="T19">
        <f t="shared" si="19"/>
        <v>4</v>
      </c>
      <c r="U19">
        <f t="shared" si="20"/>
        <v>3</v>
      </c>
      <c r="V19">
        <f t="shared" si="21"/>
        <v>3</v>
      </c>
      <c r="W19">
        <f t="shared" si="22"/>
        <v>1</v>
      </c>
      <c r="X19" s="45" t="str">
        <f t="shared" si="6"/>
        <v>1 : 0</v>
      </c>
      <c r="Y19">
        <f t="shared" si="7"/>
        <v>1</v>
      </c>
      <c r="Z19">
        <f t="shared" si="16"/>
        <v>0</v>
      </c>
      <c r="AA19" s="102">
        <f t="shared" si="9"/>
        <v>0.6</v>
      </c>
      <c r="AB19" s="103">
        <f t="shared" si="23"/>
        <v>1.4</v>
      </c>
      <c r="AC19" s="103">
        <f t="shared" si="24"/>
        <v>0</v>
      </c>
      <c r="AD19" s="89" t="s">
        <v>0</v>
      </c>
      <c r="AE19" s="82">
        <f>COUNTIF(F15:F19,"P")</f>
        <v>1</v>
      </c>
      <c r="AF19" s="82">
        <f>COUNTIF(L15:L19,"P")</f>
        <v>3</v>
      </c>
      <c r="AG19" s="82" t="s">
        <v>16</v>
      </c>
      <c r="AH19" s="82">
        <f>+SUM(U15:U19)+SUM(Z15:Z19)</f>
        <v>14</v>
      </c>
      <c r="AI19" s="82">
        <f>+SUM(W15:W19)+SUM(Y15:Y19)</f>
        <v>13</v>
      </c>
      <c r="AJ19" s="82">
        <f>+AF18*3+AF20*1</f>
        <v>4</v>
      </c>
      <c r="AK19" s="82">
        <f>+SUM(AA15:AA19)+(SUM(AC15:AC19)*3)</f>
        <v>37.999999999999993</v>
      </c>
      <c r="AL19" s="82">
        <f>+AH18+AI19-AH19-AI18</f>
        <v>-4</v>
      </c>
      <c r="AM19" s="80"/>
      <c r="AN19" s="81" t="str">
        <f>+G14</f>
        <v>Napoli</v>
      </c>
    </row>
    <row r="20" spans="1:41" ht="15.75" thickBot="1" x14ac:dyDescent="0.3">
      <c r="A20" s="136" t="str">
        <f>+C21</f>
        <v>Hoffenheim</v>
      </c>
      <c r="B20" s="136"/>
      <c r="C20" s="136"/>
      <c r="D20" s="136"/>
      <c r="E20" s="136"/>
      <c r="F20" s="136"/>
      <c r="G20" s="136" t="str">
        <f>+J21</f>
        <v>Magonza</v>
      </c>
      <c r="H20" s="136"/>
      <c r="I20" s="136"/>
      <c r="J20" s="136"/>
      <c r="K20" s="136"/>
      <c r="L20" s="136"/>
      <c r="M20" s="99"/>
      <c r="N20" s="99"/>
      <c r="O20" s="99"/>
      <c r="P20" s="99"/>
      <c r="Q20" s="99"/>
      <c r="R20" s="99"/>
      <c r="S20" s="100"/>
      <c r="T20" s="99"/>
      <c r="U20" s="99"/>
      <c r="V20" s="99"/>
      <c r="W20" s="99"/>
      <c r="X20" s="101"/>
      <c r="Y20" s="99"/>
      <c r="Z20" s="99"/>
      <c r="AA20" s="100"/>
      <c r="AB20" s="104"/>
      <c r="AC20" s="104"/>
      <c r="AD20" s="90" t="s">
        <v>2</v>
      </c>
      <c r="AE20" s="83">
        <f>5-AE19-AE18</f>
        <v>0</v>
      </c>
      <c r="AF20" s="83">
        <f>5-AF19-AF18</f>
        <v>1</v>
      </c>
      <c r="AG20" s="83"/>
      <c r="AH20" s="84">
        <f>IF(AH18=0,0,IF(AI19=0,0,((AH18*0.7)/(AI19*1.3))))-IF(AH19=0,0,IF(AI18=0,0,(AI18/AH19)))</f>
        <v>-0.72442941673710926</v>
      </c>
      <c r="AI20" s="83">
        <f>+AH18/5</f>
        <v>3.4</v>
      </c>
      <c r="AJ20" s="83">
        <f>+AJ18-AJ19</f>
        <v>8</v>
      </c>
      <c r="AK20" s="83">
        <f>+AK18-AK19</f>
        <v>-5.7999999999999901</v>
      </c>
      <c r="AL20" s="83"/>
      <c r="AM20" s="85"/>
      <c r="AN20" s="86"/>
    </row>
    <row r="21" spans="1:41" x14ac:dyDescent="0.25">
      <c r="A21" t="str">
        <f>+'System X4'!C30</f>
        <v>06.03.21</v>
      </c>
      <c r="B21" t="str">
        <f>+'System X4'!D30</f>
        <v>BUN</v>
      </c>
      <c r="C21" t="str">
        <f>+'System X4'!E30</f>
        <v>Hoffenheim</v>
      </c>
      <c r="D21" t="str">
        <f>+'System X4'!F30</f>
        <v>Wolfsburg</v>
      </c>
      <c r="E21" t="str">
        <f>+'System X4'!G30</f>
        <v>2 : 1</v>
      </c>
      <c r="F21" t="str">
        <f>+'System X4'!H30</f>
        <v>V</v>
      </c>
      <c r="G21" t="str">
        <f>+'System X4'!I30</f>
        <v>05.03.21</v>
      </c>
      <c r="H21" t="str">
        <f>+'System X4'!J30</f>
        <v>BUN</v>
      </c>
      <c r="I21" t="str">
        <f>+'System X4'!K30</f>
        <v>Schalke</v>
      </c>
      <c r="J21" t="str">
        <f>+'System X4'!L30</f>
        <v>Magonza</v>
      </c>
      <c r="K21" t="str">
        <f>+'System X4'!M30</f>
        <v>0 : 0</v>
      </c>
      <c r="L21" t="str">
        <f>+'System X4'!N30</f>
        <v>N</v>
      </c>
      <c r="M21" t="str">
        <f>+'System X4'!O30</f>
        <v>29.11.20</v>
      </c>
      <c r="N21" t="str">
        <f>+'System X4'!P30</f>
        <v>BUN</v>
      </c>
      <c r="O21" t="str">
        <f>+'System X4'!Q30</f>
        <v>Magonza</v>
      </c>
      <c r="P21" t="str">
        <f>+'System X4'!R30</f>
        <v>Hoffenheim</v>
      </c>
      <c r="Q21" t="str">
        <f>+'System X4'!S30</f>
        <v>1 : 1</v>
      </c>
      <c r="R21" t="str">
        <f t="shared" si="0"/>
        <v>N</v>
      </c>
      <c r="S21" s="102">
        <f t="shared" si="1"/>
        <v>2.8</v>
      </c>
      <c r="T21">
        <f t="shared" ref="T21:T25" si="25">IF(E21=0,"",VALUE(LEFT(E21,FIND(":",E21,1)-1)))</f>
        <v>2</v>
      </c>
      <c r="U21">
        <f t="shared" ref="U21:U25" si="26">IF(E21=0,"",VALUE(RIGHT(E21,FIND(":",E21,1)-1)))</f>
        <v>1</v>
      </c>
      <c r="V21">
        <f t="shared" ref="V21:V25" si="27">IF(K21=0,"",VALUE(LEFT(K21,FIND(":",K21,1)-1)))</f>
        <v>0</v>
      </c>
      <c r="W21">
        <f t="shared" ref="W21:W25" si="28">IF(K21=0,"",VALUE(RIGHT(K21,FIND(":",K21,1)-1)))</f>
        <v>0</v>
      </c>
      <c r="X21" s="45" t="str">
        <f t="shared" si="6"/>
        <v>1 : 1</v>
      </c>
      <c r="Y21">
        <f>IF(X21=0,"",VALUE(LEFT(X21,FIND(":",X21,1)-1)))</f>
        <v>1</v>
      </c>
      <c r="Z21">
        <f>IF(X21=0,"",VALUE(RIGHT(X21,FIND(":",X21,1)-1)))</f>
        <v>1</v>
      </c>
      <c r="AA21" s="102">
        <f t="shared" si="9"/>
        <v>0</v>
      </c>
      <c r="AB21" s="103">
        <f t="shared" ref="AB21:AB25" si="29">IF(R21="V",Y21*1.4,IF(R21="P",Y21*0.6,Y21))</f>
        <v>1</v>
      </c>
      <c r="AC21" s="103">
        <f t="shared" ref="AC21:AC25" si="30">IF(R21="P",Z21*1.4,IF(R21="V",Z21*0.6,Z21))</f>
        <v>1</v>
      </c>
      <c r="AD21" s="88"/>
      <c r="AE21" s="87">
        <f>+AG21*3+AF21</f>
        <v>76</v>
      </c>
      <c r="AF21" s="76">
        <f>+SUM(T21:W25)</f>
        <v>25</v>
      </c>
      <c r="AG21" s="76">
        <f>+SUM(Y21:Z25)</f>
        <v>17</v>
      </c>
      <c r="AH21" s="87"/>
      <c r="AI21" s="87"/>
      <c r="AJ21" s="87"/>
      <c r="AK21" s="87"/>
      <c r="AL21" s="87"/>
      <c r="AM21" s="76"/>
      <c r="AN21" s="77"/>
    </row>
    <row r="22" spans="1:41" x14ac:dyDescent="0.25">
      <c r="A22" t="str">
        <f>+'System X4'!C31</f>
        <v>21.02.21</v>
      </c>
      <c r="B22" t="str">
        <f>+'System X4'!D31</f>
        <v>BUN</v>
      </c>
      <c r="C22" t="str">
        <f>+'System X4'!E31</f>
        <v>Hoffenheim</v>
      </c>
      <c r="D22" t="str">
        <f>+'System X4'!F31</f>
        <v>Brema</v>
      </c>
      <c r="E22" t="str">
        <f>+'System X4'!G31</f>
        <v>4 : 0</v>
      </c>
      <c r="F22" t="str">
        <f>+'System X4'!H31</f>
        <v>V</v>
      </c>
      <c r="G22" t="str">
        <f>+'System X4'!I31</f>
        <v>20.02.21</v>
      </c>
      <c r="H22" t="str">
        <f>+'System X4'!J31</f>
        <v>BUN</v>
      </c>
      <c r="I22" t="str">
        <f>+'System X4'!K31</f>
        <v>Monchengladbach</v>
      </c>
      <c r="J22" t="str">
        <f>+'System X4'!L31</f>
        <v>Magonza</v>
      </c>
      <c r="K22" t="str">
        <f>+'System X4'!M31</f>
        <v>1 : 2</v>
      </c>
      <c r="L22" t="str">
        <f>+'System X4'!N31</f>
        <v>V</v>
      </c>
      <c r="M22" t="str">
        <f>+'System X4'!O31</f>
        <v>30.05.20</v>
      </c>
      <c r="N22" t="str">
        <f>+'System X4'!P31</f>
        <v>BUN</v>
      </c>
      <c r="O22" t="str">
        <f>+'System X4'!Q31</f>
        <v>Magonza</v>
      </c>
      <c r="P22" t="str">
        <f>+'System X4'!R31</f>
        <v>Hoffenheim</v>
      </c>
      <c r="Q22" t="str">
        <f>+'System X4'!S31</f>
        <v>0 : 1</v>
      </c>
      <c r="R22" t="str">
        <f t="shared" si="0"/>
        <v>P</v>
      </c>
      <c r="S22" s="102">
        <f t="shared" si="1"/>
        <v>5.6</v>
      </c>
      <c r="T22">
        <f t="shared" si="25"/>
        <v>4</v>
      </c>
      <c r="U22">
        <f t="shared" si="26"/>
        <v>0</v>
      </c>
      <c r="V22">
        <f t="shared" si="27"/>
        <v>1</v>
      </c>
      <c r="W22">
        <f t="shared" si="28"/>
        <v>2</v>
      </c>
      <c r="X22" s="45" t="str">
        <f t="shared" si="6"/>
        <v>0 : 1</v>
      </c>
      <c r="Y22">
        <f t="shared" ref="Y22:Y25" si="31">IF(X22=0,"",VALUE(LEFT(X22,FIND(":",X22,1)-1)))</f>
        <v>0</v>
      </c>
      <c r="Z22">
        <f t="shared" ref="Z22:Z25" si="32">IF(X22=0,"",VALUE(RIGHT(X22,FIND(":",X22,1)-1)))</f>
        <v>1</v>
      </c>
      <c r="AA22" s="102">
        <f t="shared" si="9"/>
        <v>2.8</v>
      </c>
      <c r="AB22" s="103">
        <f t="shared" si="29"/>
        <v>0</v>
      </c>
      <c r="AC22" s="103">
        <f t="shared" si="30"/>
        <v>1.4</v>
      </c>
      <c r="AD22" s="91"/>
      <c r="AE22" s="79" t="str">
        <f>IF(AE21&gt;75,"OVER2,5",IF(AE21&lt;60,"UNDER2,5",""))</f>
        <v>OVER2,5</v>
      </c>
      <c r="AF22" s="78"/>
      <c r="AG22" s="78"/>
      <c r="AH22" s="79" t="str">
        <f>IF(AH26&gt;1,"X2",IF(AND(AK26&gt;1,AH26&lt;-0.5),"1",""))</f>
        <v/>
      </c>
      <c r="AI22" s="79" t="str">
        <f>IF(AE21&lt;65,"",IF(AI26&gt;1.5,"Over 1,5",""))</f>
        <v>Over 1,5</v>
      </c>
      <c r="AJ22" s="79" t="str">
        <f>IF(AND(AJ26&lt;1,AJ26&gt;-3),"Under2,5",IF(AND(AJ26&lt;-3,AJ26&gt;-7),"NG",IF(AND(AK26&gt;1,AJ26&gt;5),"GG","")))</f>
        <v/>
      </c>
      <c r="AK22" s="79" t="str">
        <f>IF((AE26+AF26)&gt;3,"X",IF(AK26&gt;5,"1",""))</f>
        <v>X</v>
      </c>
      <c r="AL22" s="79"/>
      <c r="AM22" s="80"/>
      <c r="AN22" s="81" t="str">
        <f>+AE22&amp;"-"&amp;+AH22&amp;"-"&amp;+AI22&amp;"-"&amp;+AJ22&amp;"-"&amp;+AK22</f>
        <v>OVER2,5--Over 1,5--X</v>
      </c>
    </row>
    <row r="23" spans="1:41" x14ac:dyDescent="0.25">
      <c r="A23" t="str">
        <f>+'System X4'!C32</f>
        <v>07.02.21</v>
      </c>
      <c r="B23" t="str">
        <f>+'System X4'!D32</f>
        <v>BUN</v>
      </c>
      <c r="C23" t="str">
        <f>+'System X4'!E32</f>
        <v>Hoffenheim</v>
      </c>
      <c r="D23" t="str">
        <f>+'System X4'!F32</f>
        <v>Francoforte</v>
      </c>
      <c r="E23" t="str">
        <f>+'System X4'!G32</f>
        <v>1 : 3</v>
      </c>
      <c r="F23" t="str">
        <f>+'System X4'!H32</f>
        <v>P</v>
      </c>
      <c r="G23" t="str">
        <f>+'System X4'!I32</f>
        <v>13.02.21</v>
      </c>
      <c r="H23" t="str">
        <f>+'System X4'!J32</f>
        <v>BUN</v>
      </c>
      <c r="I23" t="str">
        <f>+'System X4'!K32</f>
        <v>Leverkusen</v>
      </c>
      <c r="J23" t="str">
        <f>+'System X4'!L32</f>
        <v>Magonza</v>
      </c>
      <c r="K23" t="str">
        <f>+'System X4'!M32</f>
        <v>2 : 2</v>
      </c>
      <c r="L23" t="str">
        <f>+'System X4'!N32</f>
        <v>N</v>
      </c>
      <c r="M23" t="str">
        <f>+'System X4'!O32</f>
        <v>24.11.19</v>
      </c>
      <c r="N23" t="str">
        <f>+'System X4'!P32</f>
        <v>BUN</v>
      </c>
      <c r="O23" t="str">
        <f>+'System X4'!Q32</f>
        <v>Hoffenheim</v>
      </c>
      <c r="P23" t="str">
        <f>+'System X4'!R32</f>
        <v>Magonza</v>
      </c>
      <c r="Q23" t="str">
        <f>+'System X4'!S32</f>
        <v>1 : 5</v>
      </c>
      <c r="R23" t="str">
        <f t="shared" si="0"/>
        <v>P</v>
      </c>
      <c r="S23" s="102">
        <f t="shared" si="1"/>
        <v>0.6</v>
      </c>
      <c r="T23">
        <f t="shared" si="25"/>
        <v>1</v>
      </c>
      <c r="U23">
        <f t="shared" si="26"/>
        <v>3</v>
      </c>
      <c r="V23">
        <f t="shared" si="27"/>
        <v>2</v>
      </c>
      <c r="W23">
        <f t="shared" si="28"/>
        <v>2</v>
      </c>
      <c r="X23" s="45" t="str">
        <f t="shared" si="6"/>
        <v>1 : 5</v>
      </c>
      <c r="Y23">
        <f t="shared" si="31"/>
        <v>1</v>
      </c>
      <c r="Z23">
        <f t="shared" si="32"/>
        <v>5</v>
      </c>
      <c r="AA23" s="102">
        <f t="shared" si="9"/>
        <v>2</v>
      </c>
      <c r="AB23" s="103">
        <f t="shared" si="29"/>
        <v>0.6</v>
      </c>
      <c r="AC23" s="103">
        <f t="shared" si="30"/>
        <v>7</v>
      </c>
      <c r="AD23" s="89"/>
      <c r="AE23" s="82" t="s">
        <v>11</v>
      </c>
      <c r="AF23" s="82" t="s">
        <v>12</v>
      </c>
      <c r="AG23" s="82"/>
      <c r="AH23" s="82" t="s">
        <v>13</v>
      </c>
      <c r="AI23" s="82" t="s">
        <v>14</v>
      </c>
      <c r="AJ23" s="82" t="s">
        <v>17</v>
      </c>
      <c r="AK23" s="82"/>
      <c r="AL23" s="82"/>
      <c r="AM23" s="80"/>
      <c r="AN23" s="81"/>
    </row>
    <row r="24" spans="1:41" x14ac:dyDescent="0.25">
      <c r="A24" t="str">
        <f>+'System X4'!C33</f>
        <v>24.01.21</v>
      </c>
      <c r="B24" t="str">
        <f>+'System X4'!D33</f>
        <v>BUN</v>
      </c>
      <c r="C24" t="str">
        <f>+'System X4'!E33</f>
        <v>Hoffenheim</v>
      </c>
      <c r="D24" t="str">
        <f>+'System X4'!F33</f>
        <v>Colonia</v>
      </c>
      <c r="E24" t="str">
        <f>+'System X4'!G33</f>
        <v>3 : 0</v>
      </c>
      <c r="F24" t="str">
        <f>+'System X4'!H33</f>
        <v>V</v>
      </c>
      <c r="G24" t="str">
        <f>+'System X4'!I33</f>
        <v>29.01.21</v>
      </c>
      <c r="H24" t="str">
        <f>+'System X4'!J33</f>
        <v>BUN</v>
      </c>
      <c r="I24" t="str">
        <f>+'System X4'!K33</f>
        <v>Stoccarda</v>
      </c>
      <c r="J24" t="str">
        <f>+'System X4'!L33</f>
        <v>Magonza</v>
      </c>
      <c r="K24" t="str">
        <f>+'System X4'!M33</f>
        <v>2 : 0</v>
      </c>
      <c r="L24" t="str">
        <f>+'System X4'!N33</f>
        <v>P</v>
      </c>
      <c r="M24" t="str">
        <f>+'System X4'!O33</f>
        <v>18.05.19</v>
      </c>
      <c r="N24" t="str">
        <f>+'System X4'!P33</f>
        <v>BUN</v>
      </c>
      <c r="O24" t="str">
        <f>+'System X4'!Q33</f>
        <v>Magonza</v>
      </c>
      <c r="P24" t="str">
        <f>+'System X4'!R33</f>
        <v>Hoffenheim</v>
      </c>
      <c r="Q24" t="str">
        <f>+'System X4'!S33</f>
        <v>4 : 2</v>
      </c>
      <c r="R24" t="str">
        <f t="shared" si="0"/>
        <v>V</v>
      </c>
      <c r="S24" s="102">
        <f t="shared" si="1"/>
        <v>4.1999999999999993</v>
      </c>
      <c r="T24">
        <f t="shared" si="25"/>
        <v>3</v>
      </c>
      <c r="U24">
        <f t="shared" si="26"/>
        <v>0</v>
      </c>
      <c r="V24">
        <f t="shared" si="27"/>
        <v>2</v>
      </c>
      <c r="W24">
        <f t="shared" si="28"/>
        <v>0</v>
      </c>
      <c r="X24" s="45" t="str">
        <f t="shared" si="6"/>
        <v>4 : 2</v>
      </c>
      <c r="Y24">
        <f t="shared" si="31"/>
        <v>4</v>
      </c>
      <c r="Z24">
        <f t="shared" si="32"/>
        <v>2</v>
      </c>
      <c r="AA24" s="102">
        <f t="shared" si="9"/>
        <v>0</v>
      </c>
      <c r="AB24" s="103">
        <f t="shared" si="29"/>
        <v>5.6</v>
      </c>
      <c r="AC24" s="103">
        <f t="shared" si="30"/>
        <v>1.2</v>
      </c>
      <c r="AD24" s="89" t="s">
        <v>1</v>
      </c>
      <c r="AE24" s="82">
        <f>COUNTIF(F21:F25,"V")</f>
        <v>3</v>
      </c>
      <c r="AF24" s="82">
        <f>COUNTIF(L21:L25,"V")</f>
        <v>1</v>
      </c>
      <c r="AG24" s="82" t="s">
        <v>15</v>
      </c>
      <c r="AH24" s="82">
        <f>+SUM(T21:T25)+SUM(Y21:Y25)</f>
        <v>17</v>
      </c>
      <c r="AI24" s="82">
        <f>+SUM(V21:V25)+SUM(Z21:Z25)</f>
        <v>16</v>
      </c>
      <c r="AJ24" s="82">
        <f>+AE24*3+AE26*1</f>
        <v>10</v>
      </c>
      <c r="AK24" s="82">
        <f>+SUM(S21:S25)+(SUM(AB21:AB25)*3)</f>
        <v>37.799999999999997</v>
      </c>
      <c r="AL24" s="82">
        <f>+AE24-AF24*2-AE25+AF25</f>
        <v>1</v>
      </c>
      <c r="AM24" s="80"/>
      <c r="AN24" s="81" t="str">
        <f>+A20</f>
        <v>Hoffenheim</v>
      </c>
    </row>
    <row r="25" spans="1:41" x14ac:dyDescent="0.25">
      <c r="A25" t="str">
        <f>+'System X4'!C34</f>
        <v>16.01.21</v>
      </c>
      <c r="B25" t="str">
        <f>+'System X4'!D34</f>
        <v>BUN</v>
      </c>
      <c r="C25" t="str">
        <f>+'System X4'!E34</f>
        <v>Hoffenheim</v>
      </c>
      <c r="D25" t="str">
        <f>+'System X4'!F34</f>
        <v>Bielefeld</v>
      </c>
      <c r="E25" t="str">
        <f>+'System X4'!G34</f>
        <v>0 : 0</v>
      </c>
      <c r="F25" t="str">
        <f>+'System X4'!H34</f>
        <v>N</v>
      </c>
      <c r="G25" t="str">
        <f>+'System X4'!I34</f>
        <v>16.01.21</v>
      </c>
      <c r="H25" t="str">
        <f>+'System X4'!J34</f>
        <v>BUN</v>
      </c>
      <c r="I25" t="str">
        <f>+'System X4'!K34</f>
        <v>Dortmund</v>
      </c>
      <c r="J25" t="str">
        <f>+'System X4'!L34</f>
        <v>Magonza</v>
      </c>
      <c r="K25" t="str">
        <f>+'System X4'!M34</f>
        <v>1 : 1</v>
      </c>
      <c r="L25" t="str">
        <f>+'System X4'!N34</f>
        <v>N</v>
      </c>
      <c r="M25" t="str">
        <f>+'System X4'!O34</f>
        <v>23.12.18</v>
      </c>
      <c r="N25" t="str">
        <f>+'System X4'!P34</f>
        <v>BUN</v>
      </c>
      <c r="O25" t="str">
        <f>+'System X4'!Q34</f>
        <v>Hoffenheim</v>
      </c>
      <c r="P25" t="str">
        <f>+'System X4'!R34</f>
        <v>Magonza</v>
      </c>
      <c r="Q25" t="str">
        <f>+'System X4'!S34</f>
        <v>1 : 1</v>
      </c>
      <c r="R25" t="str">
        <f t="shared" si="0"/>
        <v>N</v>
      </c>
      <c r="S25" s="102">
        <f t="shared" si="1"/>
        <v>0</v>
      </c>
      <c r="T25">
        <f t="shared" si="25"/>
        <v>0</v>
      </c>
      <c r="U25">
        <f t="shared" si="26"/>
        <v>0</v>
      </c>
      <c r="V25">
        <f t="shared" si="27"/>
        <v>1</v>
      </c>
      <c r="W25">
        <f t="shared" si="28"/>
        <v>1</v>
      </c>
      <c r="X25" s="45" t="str">
        <f t="shared" si="6"/>
        <v>1 : 1</v>
      </c>
      <c r="Y25">
        <f t="shared" si="31"/>
        <v>1</v>
      </c>
      <c r="Z25">
        <f t="shared" si="32"/>
        <v>1</v>
      </c>
      <c r="AA25" s="102">
        <f t="shared" si="9"/>
        <v>1</v>
      </c>
      <c r="AB25" s="103">
        <f t="shared" si="29"/>
        <v>1</v>
      </c>
      <c r="AC25" s="103">
        <f t="shared" si="30"/>
        <v>1</v>
      </c>
      <c r="AD25" s="89" t="s">
        <v>0</v>
      </c>
      <c r="AE25" s="82">
        <f>COUNTIF(F21:F25,"P")</f>
        <v>1</v>
      </c>
      <c r="AF25" s="82">
        <f>COUNTIF(L21:L25,"P")</f>
        <v>1</v>
      </c>
      <c r="AG25" s="82" t="s">
        <v>16</v>
      </c>
      <c r="AH25" s="82">
        <f>+SUM(U21:U25)+SUM(Z21:Z25)</f>
        <v>14</v>
      </c>
      <c r="AI25" s="82">
        <f>+SUM(W21:W25)+SUM(Y21:Y25)</f>
        <v>12</v>
      </c>
      <c r="AJ25" s="82">
        <f>+AF24*3+AF26*1</f>
        <v>6</v>
      </c>
      <c r="AK25" s="82">
        <f>+SUM(AA21:AA25)+(SUM(AC21:AC25)*3)</f>
        <v>40.599999999999994</v>
      </c>
      <c r="AL25" s="82">
        <f>+AH24+AI25-AH25-AI24</f>
        <v>-1</v>
      </c>
      <c r="AM25" s="80"/>
      <c r="AN25" s="81" t="str">
        <f>+G20</f>
        <v>Magonza</v>
      </c>
    </row>
    <row r="26" spans="1:41" ht="15.75" thickBot="1" x14ac:dyDescent="0.3">
      <c r="A26" s="136" t="str">
        <f>+C27</f>
        <v>Hertha</v>
      </c>
      <c r="B26" s="136"/>
      <c r="C26" s="136"/>
      <c r="D26" s="136"/>
      <c r="E26" s="136"/>
      <c r="F26" s="136"/>
      <c r="G26" s="136" t="str">
        <f>+J27</f>
        <v>Leverkusen</v>
      </c>
      <c r="H26" s="136"/>
      <c r="I26" s="136"/>
      <c r="J26" s="136"/>
      <c r="K26" s="136"/>
      <c r="L26" s="136"/>
      <c r="M26" s="99"/>
      <c r="N26" s="99"/>
      <c r="O26" s="99"/>
      <c r="P26" s="99"/>
      <c r="Q26" s="99"/>
      <c r="R26" s="99"/>
      <c r="S26" s="100"/>
      <c r="T26" s="99"/>
      <c r="U26" s="99"/>
      <c r="V26" s="99"/>
      <c r="W26" s="99"/>
      <c r="X26" s="101"/>
      <c r="Y26" s="99"/>
      <c r="Z26" s="99"/>
      <c r="AA26" s="100"/>
      <c r="AB26" s="104"/>
      <c r="AC26" s="104"/>
      <c r="AD26" s="90" t="s">
        <v>2</v>
      </c>
      <c r="AE26" s="83">
        <f>5-AE25-AE24</f>
        <v>1</v>
      </c>
      <c r="AF26" s="83">
        <f>5-AF25-AF24</f>
        <v>3</v>
      </c>
      <c r="AG26" s="83"/>
      <c r="AH26" s="84">
        <f>IF(AH24=0,0,IF(AI25=0,0,((AH24*0.7)/(AI25*1.3))))-IF(AH25=0,0,IF(AI24=0,0,(AI24/AH25)))</f>
        <v>-0.38003663003663013</v>
      </c>
      <c r="AI26" s="83">
        <f>+AH24/5</f>
        <v>3.4</v>
      </c>
      <c r="AJ26" s="83">
        <f>+AJ24-AJ25</f>
        <v>4</v>
      </c>
      <c r="AK26" s="83">
        <f>+AK24-AK25</f>
        <v>-2.7999999999999972</v>
      </c>
      <c r="AL26" s="83"/>
      <c r="AM26" s="85"/>
      <c r="AN26" s="86"/>
    </row>
    <row r="27" spans="1:41" x14ac:dyDescent="0.25">
      <c r="A27" t="str">
        <f>+'System X4'!C37</f>
        <v>06.03.21</v>
      </c>
      <c r="B27" t="str">
        <f>+'System X4'!D37</f>
        <v>BUN</v>
      </c>
      <c r="C27" t="str">
        <f>+'System X4'!E37</f>
        <v>Hertha</v>
      </c>
      <c r="D27" t="str">
        <f>+'System X4'!F37</f>
        <v>Augusta</v>
      </c>
      <c r="E27" t="str">
        <f>+'System X4'!G37</f>
        <v>2 : 1</v>
      </c>
      <c r="F27" t="str">
        <f>+'System X4'!H37</f>
        <v>V</v>
      </c>
      <c r="G27" t="str">
        <f>+'System X4'!I37</f>
        <v>06.03.21</v>
      </c>
      <c r="H27" t="str">
        <f>+'System X4'!J37</f>
        <v>BUN</v>
      </c>
      <c r="I27" t="str">
        <f>+'System X4'!K37</f>
        <v>Monchengladbach</v>
      </c>
      <c r="J27" t="str">
        <f>+'System X4'!L37</f>
        <v>Leverkusen</v>
      </c>
      <c r="K27" t="str">
        <f>+'System X4'!M37</f>
        <v>0 : 1</v>
      </c>
      <c r="L27" t="str">
        <f>+'System X4'!N37</f>
        <v>V</v>
      </c>
      <c r="M27" t="str">
        <f>+'System X4'!O37</f>
        <v>20.06.20</v>
      </c>
      <c r="N27" t="str">
        <f>+'System X4'!P37</f>
        <v>BUN</v>
      </c>
      <c r="O27" t="str">
        <f>+'System X4'!Q37</f>
        <v>Hertha</v>
      </c>
      <c r="P27" t="str">
        <f>+'System X4'!R37</f>
        <v>Leverkusen</v>
      </c>
      <c r="Q27" t="str">
        <f>+'System X4'!S37</f>
        <v>2 : 0</v>
      </c>
      <c r="R27" t="str">
        <f t="shared" si="0"/>
        <v>V</v>
      </c>
      <c r="S27" s="102">
        <f t="shared" si="1"/>
        <v>2.8</v>
      </c>
      <c r="T27">
        <f t="shared" ref="T27:T31" si="33">IF(E27=0,"",VALUE(LEFT(E27,FIND(":",E27,1)-1)))</f>
        <v>2</v>
      </c>
      <c r="U27">
        <f t="shared" ref="U27:U31" si="34">IF(E27=0,"",VALUE(RIGHT(E27,FIND(":",E27,1)-1)))</f>
        <v>1</v>
      </c>
      <c r="V27">
        <f t="shared" ref="V27:V31" si="35">IF(K27=0,"",VALUE(LEFT(K27,FIND(":",K27,1)-1)))</f>
        <v>0</v>
      </c>
      <c r="W27">
        <f t="shared" ref="W27:W31" si="36">IF(K27=0,"",VALUE(RIGHT(K27,FIND(":",K27,1)-1)))</f>
        <v>1</v>
      </c>
      <c r="X27" s="45" t="str">
        <f t="shared" si="6"/>
        <v>2 : 0</v>
      </c>
      <c r="Y27">
        <f>IF(X27=0,"",VALUE(LEFT(X27,FIND(":",X27,1)-1)))</f>
        <v>2</v>
      </c>
      <c r="Z27">
        <f>IF(X27=0,"",VALUE(RIGHT(X27,FIND(":",X27,1)-1)))</f>
        <v>0</v>
      </c>
      <c r="AA27" s="102">
        <f t="shared" si="9"/>
        <v>1.4</v>
      </c>
      <c r="AB27" s="103">
        <f t="shared" ref="AB27:AB31" si="37">IF(R27="V",Y27*1.4,IF(R27="P",Y27*0.6,Y27))</f>
        <v>2.8</v>
      </c>
      <c r="AC27" s="103">
        <f t="shared" ref="AC27:AC31" si="38">IF(R27="P",Z27*1.4,IF(R27="V",Z27*0.6,Z27))</f>
        <v>0</v>
      </c>
      <c r="AD27" s="88"/>
      <c r="AE27" s="87">
        <f>+AG27*3+AF27</f>
        <v>89</v>
      </c>
      <c r="AF27" s="76">
        <f>+SUM(T27:W31)</f>
        <v>23</v>
      </c>
      <c r="AG27" s="76">
        <f>+SUM(Y27:Z31)</f>
        <v>22</v>
      </c>
      <c r="AH27" s="87"/>
      <c r="AI27" s="87"/>
      <c r="AJ27" s="87"/>
      <c r="AK27" s="87"/>
      <c r="AL27" s="87"/>
      <c r="AM27" s="76"/>
      <c r="AN27" s="77"/>
      <c r="AO27" s="58"/>
    </row>
    <row r="28" spans="1:41" x14ac:dyDescent="0.25">
      <c r="A28" t="str">
        <f>+'System X4'!C38</f>
        <v>21.02.21</v>
      </c>
      <c r="B28" t="str">
        <f>+'System X4'!D38</f>
        <v>BUN</v>
      </c>
      <c r="C28" t="str">
        <f>+'System X4'!E38</f>
        <v>Hertha</v>
      </c>
      <c r="D28" t="str">
        <f>+'System X4'!F38</f>
        <v>RB Lipsia</v>
      </c>
      <c r="E28" t="str">
        <f>+'System X4'!G38</f>
        <v>0 : 3</v>
      </c>
      <c r="F28" t="str">
        <f>+'System X4'!H38</f>
        <v>P</v>
      </c>
      <c r="G28" t="str">
        <f>+'System X4'!I38</f>
        <v>21.02.21</v>
      </c>
      <c r="H28" t="str">
        <f>+'System X4'!J38</f>
        <v>BUN</v>
      </c>
      <c r="I28" t="str">
        <f>+'System X4'!K38</f>
        <v>Augusta</v>
      </c>
      <c r="J28" t="str">
        <f>+'System X4'!L38</f>
        <v>Leverkusen</v>
      </c>
      <c r="K28" t="str">
        <f>+'System X4'!M38</f>
        <v>1 : 1</v>
      </c>
      <c r="L28" t="str">
        <f>+'System X4'!N38</f>
        <v>N</v>
      </c>
      <c r="M28" t="str">
        <f>+'System X4'!O38</f>
        <v>18.05.19</v>
      </c>
      <c r="N28" t="str">
        <f>+'System X4'!P38</f>
        <v>BUN</v>
      </c>
      <c r="O28" t="str">
        <f>+'System X4'!Q38</f>
        <v>Hertha</v>
      </c>
      <c r="P28" t="str">
        <f>+'System X4'!R38</f>
        <v>Leverkusen</v>
      </c>
      <c r="Q28" t="str">
        <f>+'System X4'!S38</f>
        <v>1 : 5</v>
      </c>
      <c r="R28" t="str">
        <f t="shared" si="0"/>
        <v>P</v>
      </c>
      <c r="S28" s="102">
        <f t="shared" si="1"/>
        <v>0</v>
      </c>
      <c r="T28">
        <f t="shared" si="33"/>
        <v>0</v>
      </c>
      <c r="U28">
        <f t="shared" si="34"/>
        <v>3</v>
      </c>
      <c r="V28">
        <f t="shared" si="35"/>
        <v>1</v>
      </c>
      <c r="W28">
        <f t="shared" si="36"/>
        <v>1</v>
      </c>
      <c r="X28" s="45" t="str">
        <f t="shared" si="6"/>
        <v>1 : 5</v>
      </c>
      <c r="Y28">
        <f t="shared" ref="Y28:Y31" si="39">IF(X28=0,"",VALUE(LEFT(X28,FIND(":",X28,1)-1)))</f>
        <v>1</v>
      </c>
      <c r="Z28">
        <f t="shared" ref="Z28:Z31" si="40">IF(X28=0,"",VALUE(RIGHT(X28,FIND(":",X28,1)-1)))</f>
        <v>5</v>
      </c>
      <c r="AA28" s="102">
        <f t="shared" si="9"/>
        <v>1</v>
      </c>
      <c r="AB28" s="103">
        <f t="shared" si="37"/>
        <v>0.6</v>
      </c>
      <c r="AC28" s="103">
        <f t="shared" si="38"/>
        <v>7</v>
      </c>
      <c r="AD28" s="91"/>
      <c r="AE28" s="79" t="str">
        <f>IF(AE27&gt;75,"OVER2,5",IF(AE27&lt;60,"UNDER2,5",""))</f>
        <v>OVER2,5</v>
      </c>
      <c r="AF28" s="78"/>
      <c r="AG28" s="78"/>
      <c r="AH28" s="79" t="str">
        <f>IF(AH32&gt;1,"X2",IF(AND(AK32&gt;1,AH32&lt;-0.5),"1",""))</f>
        <v/>
      </c>
      <c r="AI28" s="79" t="str">
        <f>IF(AE27&lt;65,"",IF(AI32&gt;1.5,"Over 1,5",""))</f>
        <v>Over 1,5</v>
      </c>
      <c r="AJ28" s="79" t="str">
        <f>IF(AND(AJ32&lt;1,AJ32&gt;-3),"Under2,5",IF(AND(AJ32&lt;-3,AJ32&gt;-7),"NG",IF(AND(AK32&gt;1,AJ32&gt;5),"GG","")))</f>
        <v>Under2,5</v>
      </c>
      <c r="AK28" s="79" t="str">
        <f>IF((AE32+AF32)&gt;3,"X",IF(AK32&gt;5,"1",""))</f>
        <v/>
      </c>
      <c r="AL28" s="79"/>
      <c r="AM28" s="80"/>
      <c r="AN28" s="81" t="str">
        <f>+AE28&amp;"-"&amp;+AH28&amp;"-"&amp;+AI28&amp;"-"&amp;+AJ28&amp;"-"&amp;+AK28</f>
        <v>OVER2,5--Over 1,5-Under2,5-</v>
      </c>
      <c r="AO28" s="58"/>
    </row>
    <row r="29" spans="1:41" x14ac:dyDescent="0.25">
      <c r="A29" t="str">
        <f>+'System X4'!C39</f>
        <v>05.02.21</v>
      </c>
      <c r="B29" t="str">
        <f>+'System X4'!D39</f>
        <v>BUN</v>
      </c>
      <c r="C29" t="str">
        <f>+'System X4'!E39</f>
        <v>Hertha</v>
      </c>
      <c r="D29" t="str">
        <f>+'System X4'!F39</f>
        <v>Bayern</v>
      </c>
      <c r="E29" t="str">
        <f>+'System X4'!G39</f>
        <v>0 : 1</v>
      </c>
      <c r="F29" t="str">
        <f>+'System X4'!H39</f>
        <v>P</v>
      </c>
      <c r="G29" t="str">
        <f>+'System X4'!I39</f>
        <v>30.01.21</v>
      </c>
      <c r="H29" t="str">
        <f>+'System X4'!J39</f>
        <v>BUN</v>
      </c>
      <c r="I29" t="str">
        <f>+'System X4'!K39</f>
        <v>RB Lipsia</v>
      </c>
      <c r="J29" t="str">
        <f>+'System X4'!L39</f>
        <v>Leverkusen</v>
      </c>
      <c r="K29" t="str">
        <f>+'System X4'!M39</f>
        <v>1 : 0</v>
      </c>
      <c r="L29" t="str">
        <f>+'System X4'!N39</f>
        <v>P</v>
      </c>
      <c r="M29" t="str">
        <f>+'System X4'!O39</f>
        <v>20.09.17</v>
      </c>
      <c r="N29" t="str">
        <f>+'System X4'!P39</f>
        <v>BUN</v>
      </c>
      <c r="O29" t="str">
        <f>+'System X4'!Q39</f>
        <v>Hertha</v>
      </c>
      <c r="P29" t="str">
        <f>+'System X4'!R39</f>
        <v>Leverkusen</v>
      </c>
      <c r="Q29" t="str">
        <f>+'System X4'!S39</f>
        <v>2 : 1</v>
      </c>
      <c r="R29" t="str">
        <f t="shared" si="0"/>
        <v>V</v>
      </c>
      <c r="S29" s="102">
        <f t="shared" si="1"/>
        <v>0</v>
      </c>
      <c r="T29">
        <f t="shared" si="33"/>
        <v>0</v>
      </c>
      <c r="U29">
        <f t="shared" si="34"/>
        <v>1</v>
      </c>
      <c r="V29">
        <f t="shared" si="35"/>
        <v>1</v>
      </c>
      <c r="W29">
        <f t="shared" si="36"/>
        <v>0</v>
      </c>
      <c r="X29" s="45" t="str">
        <f t="shared" si="6"/>
        <v>2 : 1</v>
      </c>
      <c r="Y29">
        <f t="shared" si="39"/>
        <v>2</v>
      </c>
      <c r="Z29">
        <f t="shared" si="40"/>
        <v>1</v>
      </c>
      <c r="AA29" s="102">
        <f t="shared" si="9"/>
        <v>0</v>
      </c>
      <c r="AB29" s="103">
        <f t="shared" si="37"/>
        <v>2.8</v>
      </c>
      <c r="AC29" s="103">
        <f t="shared" si="38"/>
        <v>0.6</v>
      </c>
      <c r="AD29" s="89"/>
      <c r="AE29" s="82" t="s">
        <v>11</v>
      </c>
      <c r="AF29" s="82" t="s">
        <v>12</v>
      </c>
      <c r="AG29" s="82"/>
      <c r="AH29" s="82" t="s">
        <v>13</v>
      </c>
      <c r="AI29" s="82" t="s">
        <v>14</v>
      </c>
      <c r="AJ29" s="82" t="s">
        <v>17</v>
      </c>
      <c r="AK29" s="82"/>
      <c r="AL29" s="82"/>
      <c r="AM29" s="80"/>
      <c r="AN29" s="81"/>
      <c r="AO29" s="58"/>
    </row>
    <row r="30" spans="1:41" x14ac:dyDescent="0.25">
      <c r="A30" t="str">
        <f>+'System X4'!C40</f>
        <v>23.01.21</v>
      </c>
      <c r="B30" t="str">
        <f>+'System X4'!D40</f>
        <v>BUN</v>
      </c>
      <c r="C30" t="str">
        <f>+'System X4'!E40</f>
        <v>Hertha</v>
      </c>
      <c r="D30" t="str">
        <f>+'System X4'!F40</f>
        <v>Brema</v>
      </c>
      <c r="E30" t="str">
        <f>+'System X4'!G40</f>
        <v>1 : 4</v>
      </c>
      <c r="F30" t="str">
        <f>+'System X4'!H40</f>
        <v>P</v>
      </c>
      <c r="G30" t="str">
        <f>+'System X4'!I40</f>
        <v>15.01.21</v>
      </c>
      <c r="H30" t="str">
        <f>+'System X4'!J40</f>
        <v>BUN</v>
      </c>
      <c r="I30" t="str">
        <f>+'System X4'!K40</f>
        <v>Union Berlino</v>
      </c>
      <c r="J30" t="str">
        <f>+'System X4'!L40</f>
        <v>Leverkusen</v>
      </c>
      <c r="K30" t="str">
        <f>+'System X4'!M40</f>
        <v>1 : 0</v>
      </c>
      <c r="L30" t="str">
        <f>+'System X4'!N40</f>
        <v>P</v>
      </c>
      <c r="M30" t="str">
        <f>+'System X4'!O40</f>
        <v>20.05.17</v>
      </c>
      <c r="N30" t="str">
        <f>+'System X4'!P40</f>
        <v>BUN</v>
      </c>
      <c r="O30" t="str">
        <f>+'System X4'!Q40</f>
        <v>Hertha</v>
      </c>
      <c r="P30" t="str">
        <f>+'System X4'!R40</f>
        <v>Leverkusen</v>
      </c>
      <c r="Q30" t="str">
        <f>+'System X4'!S40</f>
        <v>2 : 6</v>
      </c>
      <c r="R30" t="str">
        <f t="shared" si="0"/>
        <v>P</v>
      </c>
      <c r="S30" s="102">
        <f t="shared" si="1"/>
        <v>0.6</v>
      </c>
      <c r="T30">
        <f t="shared" si="33"/>
        <v>1</v>
      </c>
      <c r="U30">
        <f t="shared" si="34"/>
        <v>4</v>
      </c>
      <c r="V30">
        <f t="shared" si="35"/>
        <v>1</v>
      </c>
      <c r="W30">
        <f t="shared" si="36"/>
        <v>0</v>
      </c>
      <c r="X30" s="45" t="str">
        <f t="shared" si="6"/>
        <v>2 : 6</v>
      </c>
      <c r="Y30">
        <f t="shared" si="39"/>
        <v>2</v>
      </c>
      <c r="Z30">
        <f t="shared" si="40"/>
        <v>6</v>
      </c>
      <c r="AA30" s="102">
        <f t="shared" si="9"/>
        <v>0</v>
      </c>
      <c r="AB30" s="103">
        <f t="shared" si="37"/>
        <v>1.2</v>
      </c>
      <c r="AC30" s="103">
        <f t="shared" si="38"/>
        <v>8.3999999999999986</v>
      </c>
      <c r="AD30" s="89" t="s">
        <v>1</v>
      </c>
      <c r="AE30" s="82">
        <f>COUNTIF(F27:F31,"V")</f>
        <v>1</v>
      </c>
      <c r="AF30" s="82">
        <f>COUNTIF(L27:L31,"V")</f>
        <v>1</v>
      </c>
      <c r="AG30" s="82" t="s">
        <v>15</v>
      </c>
      <c r="AH30" s="82">
        <f>+SUM(T27:T31)+SUM(Y27:Y31)</f>
        <v>12</v>
      </c>
      <c r="AI30" s="82">
        <f>+SUM(V27:V31)+SUM(Z27:Z31)</f>
        <v>18</v>
      </c>
      <c r="AJ30" s="82">
        <f>+AE30*3+AE32*1</f>
        <v>3</v>
      </c>
      <c r="AK30" s="82">
        <f>+SUM(S27:S31)+(SUM(AB27:AB31)*3)</f>
        <v>34</v>
      </c>
      <c r="AL30" s="82">
        <f>+AE30-AF30*2-AE31+AF31</f>
        <v>-2</v>
      </c>
      <c r="AM30" s="80"/>
      <c r="AN30" s="81" t="str">
        <f>+A26</f>
        <v>Hertha</v>
      </c>
    </row>
    <row r="31" spans="1:41" x14ac:dyDescent="0.25">
      <c r="A31" t="str">
        <f>+'System X4'!C41</f>
        <v>19.01.21</v>
      </c>
      <c r="B31" t="str">
        <f>+'System X4'!D41</f>
        <v>BUN</v>
      </c>
      <c r="C31" t="str">
        <f>+'System X4'!E41</f>
        <v>Hertha</v>
      </c>
      <c r="D31" t="str">
        <f>+'System X4'!F41</f>
        <v>Hoffenheim</v>
      </c>
      <c r="E31" t="str">
        <f>+'System X4'!G41</f>
        <v>0 : 3</v>
      </c>
      <c r="F31" t="str">
        <f>+'System X4'!H41</f>
        <v>P</v>
      </c>
      <c r="G31" t="str">
        <f>+'System X4'!I41</f>
        <v>02.01.21</v>
      </c>
      <c r="H31" t="str">
        <f>+'System X4'!J41</f>
        <v>BUN</v>
      </c>
      <c r="I31" t="str">
        <f>+'System X4'!K41</f>
        <v>Francoforte</v>
      </c>
      <c r="J31" t="str">
        <f>+'System X4'!L41</f>
        <v>Leverkusen</v>
      </c>
      <c r="K31" t="str">
        <f>+'System X4'!M41</f>
        <v>2 : 1</v>
      </c>
      <c r="L31" t="str">
        <f>+'System X4'!N41</f>
        <v>P</v>
      </c>
      <c r="M31" t="str">
        <f>+'System X4'!O41</f>
        <v>05.12.15</v>
      </c>
      <c r="N31" t="str">
        <f>+'System X4'!P41</f>
        <v>BUN</v>
      </c>
      <c r="O31" t="str">
        <f>+'System X4'!Q41</f>
        <v>Hertha</v>
      </c>
      <c r="P31" t="str">
        <f>+'System X4'!R41</f>
        <v>Leverkusen</v>
      </c>
      <c r="Q31" t="str">
        <f>+'System X4'!S41</f>
        <v>2 : 1</v>
      </c>
      <c r="R31" t="str">
        <f t="shared" si="0"/>
        <v>V</v>
      </c>
      <c r="S31" s="102">
        <f t="shared" si="1"/>
        <v>0</v>
      </c>
      <c r="T31">
        <f t="shared" si="33"/>
        <v>0</v>
      </c>
      <c r="U31">
        <f t="shared" si="34"/>
        <v>3</v>
      </c>
      <c r="V31">
        <f t="shared" si="35"/>
        <v>2</v>
      </c>
      <c r="W31">
        <f t="shared" si="36"/>
        <v>1</v>
      </c>
      <c r="X31" s="45" t="str">
        <f t="shared" si="6"/>
        <v>2 : 1</v>
      </c>
      <c r="Y31">
        <f t="shared" si="39"/>
        <v>2</v>
      </c>
      <c r="Z31">
        <f t="shared" si="40"/>
        <v>1</v>
      </c>
      <c r="AA31" s="102">
        <f t="shared" si="9"/>
        <v>0.6</v>
      </c>
      <c r="AB31" s="103">
        <f t="shared" si="37"/>
        <v>2.8</v>
      </c>
      <c r="AC31" s="103">
        <f t="shared" si="38"/>
        <v>0.6</v>
      </c>
      <c r="AD31" s="89" t="s">
        <v>0</v>
      </c>
      <c r="AE31" s="82">
        <f>COUNTIF(F27:F31,"P")</f>
        <v>4</v>
      </c>
      <c r="AF31" s="82">
        <f>COUNTIF(L27:L31,"P")</f>
        <v>3</v>
      </c>
      <c r="AG31" s="82" t="s">
        <v>16</v>
      </c>
      <c r="AH31" s="82">
        <f>+SUM(U27:U31)+SUM(Z27:Z31)</f>
        <v>25</v>
      </c>
      <c r="AI31" s="82">
        <f>+SUM(W27:W31)+SUM(Y27:Y31)</f>
        <v>12</v>
      </c>
      <c r="AJ31" s="82">
        <f>+AF30*3+AF32*1</f>
        <v>4</v>
      </c>
      <c r="AK31" s="82">
        <f>+SUM(AA27:AA31)+(SUM(AC27:AC31)*3)</f>
        <v>52.8</v>
      </c>
      <c r="AL31" s="82">
        <f>+AH30+AI31-AH31-AI30</f>
        <v>-19</v>
      </c>
      <c r="AM31" s="80"/>
      <c r="AN31" s="81" t="str">
        <f>+G26</f>
        <v>Leverkusen</v>
      </c>
    </row>
    <row r="32" spans="1:41" ht="15.75" thickBot="1" x14ac:dyDescent="0.3">
      <c r="AA32" s="58"/>
      <c r="AD32" s="90" t="s">
        <v>2</v>
      </c>
      <c r="AE32" s="83">
        <f>5-AE31-AE30</f>
        <v>0</v>
      </c>
      <c r="AF32" s="83">
        <f>5-AF31-AF30</f>
        <v>1</v>
      </c>
      <c r="AG32" s="83"/>
      <c r="AH32" s="84">
        <f>IF(AH30=0,0,IF(AI31=0,0,((AH30*0.7)/(AI31*1.3))))-IF(AH31=0,0,IF(AI30=0,0,(AI30/AH31)))</f>
        <v>-0.18153846153846165</v>
      </c>
      <c r="AI32" s="83">
        <f>+AH30/5</f>
        <v>2.4</v>
      </c>
      <c r="AJ32" s="83">
        <f>+AJ30-AJ31</f>
        <v>-1</v>
      </c>
      <c r="AK32" s="83">
        <f>+AK30-AK31</f>
        <v>-18.799999999999997</v>
      </c>
      <c r="AL32" s="83"/>
      <c r="AM32" s="85"/>
      <c r="AN32" s="86"/>
    </row>
    <row r="33" spans="3:39" x14ac:dyDescent="0.25">
      <c r="AA33" s="58"/>
      <c r="AE33" s="58"/>
      <c r="AF33" s="58"/>
      <c r="AG33" s="58"/>
      <c r="AH33" s="29"/>
      <c r="AI33" s="58"/>
      <c r="AJ33" s="58"/>
      <c r="AK33" s="58"/>
      <c r="AL33" s="58"/>
    </row>
    <row r="34" spans="3:39" x14ac:dyDescent="0.25">
      <c r="C34">
        <f>+'System X4'!AB10</f>
        <v>1.22</v>
      </c>
    </row>
    <row r="35" spans="3:39" x14ac:dyDescent="0.25">
      <c r="C35">
        <f>+'System X4'!AB11</f>
        <v>2</v>
      </c>
      <c r="D35" s="7">
        <f>+C34*C35*C36*C37</f>
        <v>6.7236639999999994</v>
      </c>
      <c r="G35">
        <f>+'System X4'!AE11</f>
        <v>10</v>
      </c>
      <c r="AH35" s="5" t="str">
        <f>IF(AE4="",IF(AH4="",IF(AI4="",IF(AJ4="",IF(AK4="","",AK4),AJ4),AI4),AH4),AE4)</f>
        <v>Over 1,5</v>
      </c>
      <c r="AI35" s="5" t="str">
        <f>IF(AH4="",IF(AI4="",IF(AJ4="",IF(AK4="",IF(AE4="","",AE4),AK4),AJ4),AI4),AH4)</f>
        <v>Over 1,5</v>
      </c>
      <c r="AJ35" s="5" t="str">
        <f>IF(AJ4="",IF(AK4="",IF(AI4="",IF(AE4="",IF(AH4="","",AH4),AE4),AI4),AK4),AJ4)</f>
        <v>Under2,5</v>
      </c>
      <c r="AK35" s="5" t="str">
        <f>IF(AI4="",IF(AK4="",IF(AE4="",IF(AJ4="",IF(AH4="","",AH4),AJ4),AE4),AK4),AI4)</f>
        <v>Over 1,5</v>
      </c>
    </row>
    <row r="36" spans="3:39" x14ac:dyDescent="0.25">
      <c r="C36">
        <f>+'System X4'!AB12</f>
        <v>1.66</v>
      </c>
      <c r="AH36" s="5" t="str">
        <f>IF(AE10="",IF(AH10="",IF(AI10="",IF(AJ10="",IF(AK10="","",AK10),AJ10),AI10),AH10),AE10)</f>
        <v>UNDER2,5</v>
      </c>
      <c r="AI36" s="5" t="str">
        <f>IF(AH10="",IF(AI10="",IF(AJ10="",IF(AK10="",IF(AE10="","",AE10),AK10),AJ10),AI10),AH10)</f>
        <v>NG</v>
      </c>
      <c r="AJ36" s="5" t="str">
        <f>IF(AJ10="",IF(AK10="",IF(AI10="",IF(AE10="",IF(AH10="","",AH10),AE10),AI10),AK10),AJ10)</f>
        <v>NG</v>
      </c>
      <c r="AK36" s="5" t="str">
        <f>IF(AI10="",IF(AK10="",IF(AE10="",IF(AJ10="",IF(AH10="","",AH10),AJ10),AE10),AK10),AI10)</f>
        <v>UNDER2,5</v>
      </c>
    </row>
    <row r="37" spans="3:39" x14ac:dyDescent="0.25">
      <c r="C37">
        <f>+'System X4'!AB13</f>
        <v>1.66</v>
      </c>
      <c r="G37" s="7">
        <f>+D40+D35+D45+D50</f>
        <v>30.626716000000002</v>
      </c>
      <c r="AH37" s="5" t="str">
        <f>IF(AE16="",IF(AH16="",IF(AI16="",IF(AJ16="",IF(AK16="","",AK16),AJ16),AI16),AH16),AE16)</f>
        <v>OVER2,5</v>
      </c>
      <c r="AI37" s="5" t="str">
        <f>IF(AH16="",IF(AI16="",IF(AJ16="",IF(AK16="",IF(AE16="","",AE16),AK16),AJ16),AI16),AH16)</f>
        <v>Over 1,5</v>
      </c>
      <c r="AJ37" s="5" t="str">
        <f>IF(AJ16="",IF(AK16="",IF(AI16="",IF(AE16="",IF(AH16="","",AH16),AE16),AI16),AK16),AJ16)</f>
        <v>Over 1,5</v>
      </c>
      <c r="AK37" s="5" t="str">
        <f>IF(AI16="",IF(AK16="",IF(AE16="",IF(AJ16="",IF(AH16="","",AH16),AJ16),AE16),AK16),AI16)</f>
        <v>Over 1,5</v>
      </c>
    </row>
    <row r="38" spans="3:39" x14ac:dyDescent="0.25">
      <c r="AH38" s="5" t="str">
        <f>IF(AE22="",IF(AH22="",IF(AI22="",IF(AJ22="",IF(AK22="","",AK22),AJ22),AI22),AH22),AE22)</f>
        <v>OVER2,5</v>
      </c>
      <c r="AI38" s="5" t="str">
        <f>IF(AH22="",IF(AI22="",IF(AJ22="",IF(AK22="",IF(AE22="","",AE22),AK22),AJ22),AI22),AH22)</f>
        <v>Over 1,5</v>
      </c>
      <c r="AJ38" s="5" t="str">
        <f>IF(AJ22="",IF(AK22="",IF(AI22="",IF(AE22="",IF(AH22="","",AH22),AE22),AI22),AK22),AJ22)</f>
        <v>X</v>
      </c>
      <c r="AK38" s="5" t="str">
        <f>IF(AI22="",IF(AK22="",IF(AE22="",IF(AJ22="",IF(AH22="","",AH22),AJ22),AE22),AK22),AI22)</f>
        <v>Over 1,5</v>
      </c>
    </row>
    <row r="39" spans="3:39" x14ac:dyDescent="0.25">
      <c r="C39">
        <f>+'System X4'!AB15</f>
        <v>1.22</v>
      </c>
      <c r="G39">
        <f>+G35/G37</f>
        <v>0.32651231689352522</v>
      </c>
      <c r="AH39" s="5" t="str">
        <f>IF(AE28="",IF(AH28="",IF(AI28="",IF(AJ28="",IF(AK28="","",AK28),AJ28),AI28),AH28),AE28)</f>
        <v>OVER2,5</v>
      </c>
      <c r="AI39" s="5" t="str">
        <f>IF(AH28="",IF(AI28="",IF(AJ28="",IF(AK28="",IF(AE28="","",AE28),AK28),AJ28),AI28),AH28)</f>
        <v>Over 1,5</v>
      </c>
      <c r="AJ39" s="5" t="str">
        <f>IF(AJ28="",IF(AK28="",IF(AI28="",IF(AE28="",IF(AH28="","",AH28),AE28),AI28),AK28),AJ28)</f>
        <v>Under2,5</v>
      </c>
      <c r="AK39" s="5" t="str">
        <f>IF(AI28="",IF(AK28="",IF(AE28="",IF(AJ28="",IF(AH28="","",AH28),AJ28),AE28),AK28),AI28)</f>
        <v>Over 1,5</v>
      </c>
    </row>
    <row r="40" spans="3:39" x14ac:dyDescent="0.25">
      <c r="C40">
        <f>+'System X4'!AB16</f>
        <v>2</v>
      </c>
      <c r="D40" s="7">
        <f>+C39*C40*C41*C42</f>
        <v>11.4375</v>
      </c>
    </row>
    <row r="41" spans="3:39" x14ac:dyDescent="0.25">
      <c r="C41">
        <f>+'System X4'!AB17</f>
        <v>1.25</v>
      </c>
      <c r="E41" s="49">
        <f>+G39*D35</f>
        <v>2.195359110653587</v>
      </c>
      <c r="F41" s="49">
        <f>+G37/E41</f>
        <v>13.950663402345153</v>
      </c>
      <c r="G41">
        <f>+$G$35*E46</f>
        <v>2.3200178428561364</v>
      </c>
      <c r="I41">
        <f>IF(G41=0,"",VALUE(LEFT(G41,FIND(",",G41,1)-1)))</f>
        <v>2</v>
      </c>
      <c r="J41" s="10">
        <f t="shared" ref="J41:J44" si="41">IF(G41&lt;2,2,I41)</f>
        <v>2</v>
      </c>
      <c r="S41">
        <f>IF(AND(J41&lt;J42,J41&lt;J43,J41&lt;J44),J41+J46,J41)</f>
        <v>2</v>
      </c>
      <c r="AH41" s="6" t="str">
        <f>+AH35</f>
        <v>Over 1,5</v>
      </c>
      <c r="AI41" s="6" t="str">
        <f>+AI35</f>
        <v>Over 1,5</v>
      </c>
      <c r="AJ41" s="6" t="str">
        <f>+AJ35</f>
        <v>Under2,5</v>
      </c>
      <c r="AK41" s="6" t="str">
        <f>+AK35</f>
        <v>Over 1,5</v>
      </c>
      <c r="AM41" t="str">
        <f t="shared" ref="AM41:AM44" si="42">IF(AH41=AI41,IF(AH41=AJ41,IF(AH41=AK41,"NO BET",""),""),"")</f>
        <v/>
      </c>
    </row>
    <row r="42" spans="3:39" x14ac:dyDescent="0.25">
      <c r="C42">
        <f>+'System X4'!AB18</f>
        <v>3.75</v>
      </c>
      <c r="E42" s="49">
        <f>+G39*D40</f>
        <v>3.7344846244696948</v>
      </c>
      <c r="F42" s="49">
        <f>+G37/E42</f>
        <v>8.2010555885871579</v>
      </c>
      <c r="G42">
        <f t="shared" ref="G42:G44" si="43">+$G$35*E47</f>
        <v>1.3638487824585321</v>
      </c>
      <c r="I42">
        <f t="shared" ref="I42:I44" si="44">IF(G42=0,"",VALUE(LEFT(G42,FIND(",",G42,1)-1)))</f>
        <v>1</v>
      </c>
      <c r="J42" s="10">
        <f t="shared" si="41"/>
        <v>2</v>
      </c>
      <c r="S42">
        <f>IF(AND(J42&lt;J41,J42&lt;J43,J42&lt;J44),J42+J46,J42)</f>
        <v>2</v>
      </c>
      <c r="AH42" s="6" t="str">
        <f>+AH36</f>
        <v>UNDER2,5</v>
      </c>
      <c r="AI42" s="6" t="str">
        <f>+AI36</f>
        <v>NG</v>
      </c>
      <c r="AJ42" s="6" t="str">
        <f>+AJ36</f>
        <v>NG</v>
      </c>
      <c r="AK42" s="6" t="str">
        <f t="shared" ref="AK42:AK45" si="45">+AK36</f>
        <v>UNDER2,5</v>
      </c>
      <c r="AM42" t="str">
        <f t="shared" si="42"/>
        <v/>
      </c>
    </row>
    <row r="43" spans="3:39" x14ac:dyDescent="0.25">
      <c r="E43" s="49">
        <f>+G39*D45</f>
        <v>2.9621197388580613</v>
      </c>
      <c r="F43" s="49">
        <f>+G37/E43</f>
        <v>10.339459137397002</v>
      </c>
      <c r="G43">
        <f t="shared" si="43"/>
        <v>1.7194687444190322</v>
      </c>
      <c r="I43">
        <f t="shared" si="44"/>
        <v>1</v>
      </c>
      <c r="J43" s="10">
        <f>IF(I43&lt;2,2,I43)</f>
        <v>2</v>
      </c>
      <c r="S43">
        <f>IF(AND(J43&lt;J42,J43&lt;J41,J43&lt;J44),J43+J46,J43)</f>
        <v>2</v>
      </c>
      <c r="AH43" s="6" t="str">
        <f>+AH37</f>
        <v>OVER2,5</v>
      </c>
      <c r="AI43" s="6" t="str">
        <f>+AJ37</f>
        <v>Over 1,5</v>
      </c>
      <c r="AJ43" s="6" t="str">
        <f>+AI37</f>
        <v>Over 1,5</v>
      </c>
      <c r="AK43" s="6" t="str">
        <f t="shared" si="45"/>
        <v>Over 1,5</v>
      </c>
      <c r="AM43" t="str">
        <f t="shared" si="42"/>
        <v/>
      </c>
    </row>
    <row r="44" spans="3:39" x14ac:dyDescent="0.25">
      <c r="C44">
        <f>+'System X4'!AB20</f>
        <v>2.1</v>
      </c>
      <c r="E44" s="49">
        <f>+G39*D50</f>
        <v>1.1080365260186564</v>
      </c>
      <c r="F44" s="49">
        <f>+G37/E44</f>
        <v>27.640529243242952</v>
      </c>
      <c r="G44">
        <f t="shared" si="43"/>
        <v>4.5966646302662992</v>
      </c>
      <c r="I44">
        <f t="shared" si="44"/>
        <v>4</v>
      </c>
      <c r="J44" s="10">
        <f t="shared" si="41"/>
        <v>4</v>
      </c>
      <c r="S44">
        <f>IF(AND(J44&lt;J42,J44&lt;J43,J44&lt;J41),J44+J46,J44)</f>
        <v>4</v>
      </c>
      <c r="AH44" s="6" t="str">
        <f>+AH38</f>
        <v>OVER2,5</v>
      </c>
      <c r="AI44" s="6" t="str">
        <f>+AJ38</f>
        <v>X</v>
      </c>
      <c r="AJ44" s="6" t="str">
        <f>+AK38</f>
        <v>Over 1,5</v>
      </c>
      <c r="AK44" s="6" t="str">
        <f t="shared" si="45"/>
        <v>Over 1,5</v>
      </c>
      <c r="AM44" t="str">
        <f t="shared" si="42"/>
        <v/>
      </c>
    </row>
    <row r="45" spans="3:39" x14ac:dyDescent="0.25">
      <c r="C45">
        <f>+'System X4'!AB21</f>
        <v>2</v>
      </c>
      <c r="D45" s="7">
        <f>+C44*C45*C46*C47</f>
        <v>9.072000000000001</v>
      </c>
      <c r="AH45" s="6" t="str">
        <f>+AH39</f>
        <v>OVER2,5</v>
      </c>
      <c r="AI45" s="6" t="str">
        <f>+AJ39</f>
        <v>Under2,5</v>
      </c>
      <c r="AJ45" s="6" t="str">
        <f>+AK39</f>
        <v>Over 1,5</v>
      </c>
      <c r="AK45" s="6" t="str">
        <f t="shared" si="45"/>
        <v>Over 1,5</v>
      </c>
      <c r="AM45" t="str">
        <f>IF(AH45=AI45,IF(AH45=AJ45,IF(AH45=AK45,"NO BET",""),""),"")</f>
        <v/>
      </c>
    </row>
    <row r="46" spans="3:39" x14ac:dyDescent="0.25">
      <c r="C46">
        <f>+'System X4'!AB22</f>
        <v>1.2</v>
      </c>
      <c r="E46" s="50">
        <f>+F41/(F41+F42+F43+F44)</f>
        <v>0.23200178428561366</v>
      </c>
      <c r="I46">
        <f>+I44+I43+I42+I41</f>
        <v>8</v>
      </c>
      <c r="J46">
        <f>+G35-I46</f>
        <v>2</v>
      </c>
    </row>
    <row r="47" spans="3:39" x14ac:dyDescent="0.25">
      <c r="C47">
        <f>+'System X4'!AB23</f>
        <v>1.8</v>
      </c>
      <c r="E47" s="50">
        <f>+F42/(F41+F42+F43+F44)</f>
        <v>0.13638487824585321</v>
      </c>
    </row>
    <row r="48" spans="3:39" x14ac:dyDescent="0.25">
      <c r="E48" s="50">
        <f>+F43/(F41+F42+F43+F44)</f>
        <v>0.17194687444190321</v>
      </c>
    </row>
    <row r="49" spans="3:5" x14ac:dyDescent="0.25">
      <c r="C49">
        <f>+'System X4'!AB25</f>
        <v>1.22</v>
      </c>
      <c r="E49" s="50">
        <f>+F44/(F41+F42+F43+F44)</f>
        <v>0.45966646302662995</v>
      </c>
    </row>
    <row r="50" spans="3:5" x14ac:dyDescent="0.25">
      <c r="C50">
        <f>+'System X4'!AB26</f>
        <v>1.9</v>
      </c>
      <c r="D50" s="7">
        <f>+C49*C50*C51*C52</f>
        <v>3.3935520000000001</v>
      </c>
    </row>
    <row r="51" spans="3:5" x14ac:dyDescent="0.25">
      <c r="C51">
        <f>+'System X4'!AB27</f>
        <v>1.2</v>
      </c>
    </row>
    <row r="52" spans="3:5" x14ac:dyDescent="0.25">
      <c r="C52">
        <f>+'System X4'!AB28</f>
        <v>1.22</v>
      </c>
    </row>
  </sheetData>
  <mergeCells count="11">
    <mergeCell ref="AB1:AC1"/>
    <mergeCell ref="A26:F26"/>
    <mergeCell ref="G26:L26"/>
    <mergeCell ref="A20:F20"/>
    <mergeCell ref="G20:L20"/>
    <mergeCell ref="A2:F2"/>
    <mergeCell ref="G2:L2"/>
    <mergeCell ref="A8:F8"/>
    <mergeCell ref="G8:L8"/>
    <mergeCell ref="A14:F14"/>
    <mergeCell ref="G14:L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EDFA-5CC5-4DA7-A1AC-49F1773AB909}">
  <sheetPr codeName="Foglio3"/>
  <dimension ref="A2:K21"/>
  <sheetViews>
    <sheetView workbookViewId="0">
      <selection activeCell="H25" sqref="H25"/>
    </sheetView>
  </sheetViews>
  <sheetFormatPr defaultColWidth="9.28515625" defaultRowHeight="15" x14ac:dyDescent="0.25"/>
  <cols>
    <col min="1" max="1" width="19.42578125" bestFit="1" customWidth="1"/>
    <col min="2" max="2" width="8.7109375" bestFit="1" customWidth="1"/>
    <col min="3" max="3" width="9" bestFit="1" customWidth="1"/>
    <col min="5" max="5" width="7.42578125" bestFit="1" customWidth="1"/>
    <col min="7" max="7" width="10.85546875" bestFit="1" customWidth="1"/>
    <col min="9" max="9" width="9" bestFit="1" customWidth="1"/>
    <col min="10" max="10" width="10.7109375" bestFit="1" customWidth="1"/>
    <col min="11" max="11" width="19.140625" bestFit="1" customWidth="1"/>
  </cols>
  <sheetData>
    <row r="2" spans="1:11" x14ac:dyDescent="0.25">
      <c r="A2" t="s">
        <v>28</v>
      </c>
      <c r="B2" t="s">
        <v>27</v>
      </c>
      <c r="C2" t="s">
        <v>8</v>
      </c>
      <c r="E2" t="s">
        <v>18</v>
      </c>
    </row>
    <row r="3" spans="1:11" x14ac:dyDescent="0.25">
      <c r="A3" t="s">
        <v>56</v>
      </c>
      <c r="B3" t="s">
        <v>57</v>
      </c>
      <c r="C3" t="s">
        <v>70</v>
      </c>
      <c r="E3">
        <v>1.5</v>
      </c>
      <c r="G3" t="s">
        <v>43</v>
      </c>
      <c r="J3" t="s">
        <v>26</v>
      </c>
    </row>
    <row r="4" spans="1:11" x14ac:dyDescent="0.25">
      <c r="A4" s="98" t="s">
        <v>68</v>
      </c>
      <c r="B4" s="98" t="s">
        <v>69</v>
      </c>
      <c r="C4" s="98" t="s">
        <v>71</v>
      </c>
      <c r="D4" s="98"/>
      <c r="E4" s="98">
        <v>2</v>
      </c>
      <c r="G4">
        <v>10</v>
      </c>
      <c r="J4">
        <v>-10</v>
      </c>
    </row>
    <row r="5" spans="1:11" x14ac:dyDescent="0.25">
      <c r="A5" t="s">
        <v>61</v>
      </c>
      <c r="B5" t="s">
        <v>62</v>
      </c>
      <c r="C5" t="s">
        <v>72</v>
      </c>
      <c r="E5">
        <v>1.66</v>
      </c>
    </row>
    <row r="6" spans="1:11" x14ac:dyDescent="0.25">
      <c r="A6" s="98" t="s">
        <v>65</v>
      </c>
      <c r="B6" s="98" t="s">
        <v>66</v>
      </c>
      <c r="C6" s="98" t="s">
        <v>73</v>
      </c>
      <c r="D6" s="98"/>
      <c r="E6" s="98">
        <v>1.8</v>
      </c>
      <c r="G6" t="s">
        <v>21</v>
      </c>
      <c r="I6" t="s">
        <v>39</v>
      </c>
      <c r="K6" t="s">
        <v>25</v>
      </c>
    </row>
    <row r="7" spans="1:11" x14ac:dyDescent="0.25">
      <c r="A7" t="s">
        <v>28</v>
      </c>
      <c r="B7" t="s">
        <v>27</v>
      </c>
      <c r="C7" t="s">
        <v>8</v>
      </c>
      <c r="E7" t="s">
        <v>18</v>
      </c>
    </row>
    <row r="8" spans="1:11" x14ac:dyDescent="0.25">
      <c r="A8" s="98" t="s">
        <v>56</v>
      </c>
      <c r="B8" s="98" t="s">
        <v>57</v>
      </c>
      <c r="C8" s="98" t="s">
        <v>70</v>
      </c>
      <c r="D8" s="98"/>
      <c r="E8" s="98">
        <v>1.5</v>
      </c>
      <c r="G8" t="s">
        <v>74</v>
      </c>
      <c r="I8">
        <v>8.9639999999999986</v>
      </c>
      <c r="K8">
        <v>17.927999999999997</v>
      </c>
    </row>
    <row r="9" spans="1:11" x14ac:dyDescent="0.25">
      <c r="A9" t="s">
        <v>59</v>
      </c>
      <c r="B9" t="s">
        <v>60</v>
      </c>
      <c r="C9" t="s">
        <v>70</v>
      </c>
      <c r="E9">
        <v>1.25</v>
      </c>
    </row>
    <row r="10" spans="1:11" x14ac:dyDescent="0.25">
      <c r="A10" s="98" t="s">
        <v>68</v>
      </c>
      <c r="B10" s="98" t="s">
        <v>69</v>
      </c>
      <c r="C10" s="98" t="s">
        <v>70</v>
      </c>
      <c r="D10" s="98"/>
      <c r="E10" s="98">
        <v>1.36</v>
      </c>
      <c r="G10" t="s">
        <v>22</v>
      </c>
      <c r="I10" t="s">
        <v>42</v>
      </c>
      <c r="K10" t="s">
        <v>25</v>
      </c>
    </row>
    <row r="11" spans="1:11" x14ac:dyDescent="0.25">
      <c r="A11" t="s">
        <v>65</v>
      </c>
      <c r="B11" t="s">
        <v>66</v>
      </c>
      <c r="C11" t="s">
        <v>72</v>
      </c>
      <c r="E11">
        <v>2</v>
      </c>
    </row>
    <row r="12" spans="1:11" x14ac:dyDescent="0.25">
      <c r="A12" t="s">
        <v>28</v>
      </c>
      <c r="B12" t="s">
        <v>27</v>
      </c>
      <c r="C12" t="s">
        <v>8</v>
      </c>
      <c r="E12" t="s">
        <v>18</v>
      </c>
      <c r="G12" t="s">
        <v>75</v>
      </c>
      <c r="I12">
        <v>5.1000000000000005</v>
      </c>
      <c r="K12">
        <v>15.3</v>
      </c>
    </row>
    <row r="13" spans="1:11" x14ac:dyDescent="0.25">
      <c r="A13" s="98" t="s">
        <v>56</v>
      </c>
      <c r="B13" s="98" t="s">
        <v>57</v>
      </c>
      <c r="C13" s="98" t="s">
        <v>71</v>
      </c>
      <c r="D13" s="98"/>
      <c r="E13" s="98">
        <v>2.1</v>
      </c>
    </row>
    <row r="14" spans="1:11" x14ac:dyDescent="0.25">
      <c r="A14" t="s">
        <v>59</v>
      </c>
      <c r="B14" t="s">
        <v>60</v>
      </c>
      <c r="C14" t="s">
        <v>76</v>
      </c>
      <c r="E14">
        <v>1.85</v>
      </c>
      <c r="G14" t="s">
        <v>23</v>
      </c>
      <c r="I14" t="s">
        <v>41</v>
      </c>
      <c r="K14" t="s">
        <v>25</v>
      </c>
    </row>
    <row r="15" spans="1:11" x14ac:dyDescent="0.25">
      <c r="A15" s="98" t="s">
        <v>61</v>
      </c>
      <c r="B15" s="98" t="s">
        <v>62</v>
      </c>
      <c r="C15" s="98" t="s">
        <v>72</v>
      </c>
      <c r="D15" s="98"/>
      <c r="E15" s="98">
        <v>1.66</v>
      </c>
    </row>
    <row r="16" spans="1:11" x14ac:dyDescent="0.25">
      <c r="A16" t="s">
        <v>68</v>
      </c>
      <c r="B16" t="s">
        <v>69</v>
      </c>
      <c r="C16" t="s">
        <v>70</v>
      </c>
      <c r="E16">
        <v>1.36</v>
      </c>
      <c r="G16" t="s">
        <v>74</v>
      </c>
      <c r="I16">
        <v>8.7707760000000015</v>
      </c>
      <c r="K16">
        <v>17.541552000000003</v>
      </c>
    </row>
    <row r="17" spans="1:11" x14ac:dyDescent="0.25">
      <c r="A17" t="s">
        <v>28</v>
      </c>
      <c r="B17" t="s">
        <v>27</v>
      </c>
      <c r="C17" t="s">
        <v>8</v>
      </c>
      <c r="E17" t="s">
        <v>18</v>
      </c>
    </row>
    <row r="18" spans="1:11" x14ac:dyDescent="0.25">
      <c r="A18" s="98" t="s">
        <v>56</v>
      </c>
      <c r="B18" s="98" t="s">
        <v>57</v>
      </c>
      <c r="C18" s="98" t="s">
        <v>70</v>
      </c>
      <c r="D18" s="98"/>
      <c r="E18" s="98">
        <v>1.5</v>
      </c>
      <c r="G18" t="s">
        <v>24</v>
      </c>
      <c r="I18" t="s">
        <v>40</v>
      </c>
      <c r="K18" t="s">
        <v>25</v>
      </c>
    </row>
    <row r="19" spans="1:11" x14ac:dyDescent="0.25">
      <c r="A19" t="s">
        <v>59</v>
      </c>
      <c r="B19" t="s">
        <v>60</v>
      </c>
      <c r="C19" t="s">
        <v>70</v>
      </c>
      <c r="E19">
        <v>1.25</v>
      </c>
    </row>
    <row r="20" spans="1:11" x14ac:dyDescent="0.25">
      <c r="A20" s="98" t="s">
        <v>61</v>
      </c>
      <c r="B20" s="98" t="s">
        <v>62</v>
      </c>
      <c r="C20" s="98" t="s">
        <v>71</v>
      </c>
      <c r="D20" s="98"/>
      <c r="E20" s="98">
        <v>2.1</v>
      </c>
      <c r="G20" t="s">
        <v>75</v>
      </c>
      <c r="I20">
        <v>4.921875</v>
      </c>
      <c r="K20">
        <v>14.765625</v>
      </c>
    </row>
    <row r="21" spans="1:11" x14ac:dyDescent="0.25">
      <c r="A21" t="s">
        <v>65</v>
      </c>
      <c r="B21" t="s">
        <v>66</v>
      </c>
      <c r="C21" t="s">
        <v>70</v>
      </c>
      <c r="E21">
        <v>1.25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System X4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Maidirebet</dc:creator>
  <cp:lastModifiedBy>Maidirebet</cp:lastModifiedBy>
  <cp:lastPrinted>2021-03-19T21:39:46Z</cp:lastPrinted>
  <dcterms:created xsi:type="dcterms:W3CDTF">2021-02-17T22:37:39Z</dcterms:created>
  <dcterms:modified xsi:type="dcterms:W3CDTF">2021-04-09T20:08:43Z</dcterms:modified>
</cp:coreProperties>
</file>